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0" yWindow="120" windowWidth="14115" windowHeight="8670"/>
  </bookViews>
  <sheets>
    <sheet name="シート1" sheetId="1" r:id="rId1"/>
    <sheet name="DV-IDENTITY-0" sheetId="2" state="veryHidden" r:id="rId2"/>
  </sheets>
  <calcPr calcId="145620"/>
</workbook>
</file>

<file path=xl/calcChain.xml><?xml version="1.0" encoding="utf-8"?>
<calcChain xmlns="http://schemas.openxmlformats.org/spreadsheetml/2006/main">
  <c r="A2" i="2" l="1"/>
  <c r="B2" i="2"/>
  <c r="C2" i="2"/>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M2" i="2"/>
  <c r="CN2" i="2"/>
  <c r="CO2" i="2"/>
  <c r="CP2" i="2"/>
  <c r="CQ2" i="2"/>
  <c r="CR2" i="2"/>
  <c r="CS2" i="2"/>
  <c r="CT2" i="2"/>
  <c r="CU2" i="2"/>
  <c r="CV2" i="2"/>
  <c r="CW2" i="2"/>
  <c r="CX2" i="2"/>
  <c r="CY2" i="2"/>
  <c r="CZ2" i="2"/>
  <c r="DA2" i="2"/>
  <c r="DB2" i="2"/>
  <c r="DC2" i="2"/>
  <c r="DD2" i="2"/>
  <c r="DE2" i="2"/>
  <c r="A1" i="2"/>
  <c r="B1" i="2"/>
  <c r="C1" i="2"/>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 r="BX1" i="2"/>
  <c r="BY1" i="2"/>
  <c r="BZ1" i="2"/>
  <c r="CA1" i="2"/>
  <c r="CB1" i="2"/>
  <c r="CC1" i="2"/>
  <c r="CD1" i="2"/>
  <c r="CE1" i="2"/>
  <c r="CF1" i="2"/>
  <c r="CG1" i="2"/>
  <c r="CH1" i="2"/>
  <c r="CI1" i="2"/>
  <c r="CJ1" i="2"/>
  <c r="CK1" i="2"/>
  <c r="CL1" i="2"/>
  <c r="CM1" i="2"/>
  <c r="CN1" i="2"/>
  <c r="CO1" i="2"/>
  <c r="CP1" i="2"/>
  <c r="CQ1" i="2"/>
  <c r="CR1" i="2"/>
  <c r="CS1" i="2"/>
  <c r="CT1" i="2"/>
  <c r="CU1" i="2"/>
  <c r="CV1" i="2"/>
  <c r="CW1" i="2"/>
  <c r="CX1" i="2"/>
  <c r="CY1" i="2"/>
  <c r="CZ1" i="2"/>
  <c r="DA1" i="2"/>
  <c r="DB1" i="2"/>
  <c r="DC1" i="2"/>
  <c r="DD1" i="2"/>
  <c r="DE1" i="2"/>
  <c r="DF1" i="2"/>
  <c r="DG1" i="2"/>
  <c r="DH1" i="2"/>
  <c r="DI1" i="2"/>
  <c r="DJ1" i="2"/>
  <c r="DK1" i="2"/>
  <c r="DL1" i="2"/>
  <c r="DM1" i="2"/>
  <c r="DN1" i="2"/>
  <c r="DO1" i="2"/>
  <c r="DP1" i="2"/>
  <c r="DQ1" i="2"/>
  <c r="DR1" i="2"/>
  <c r="DS1" i="2"/>
  <c r="DT1" i="2"/>
  <c r="DU1" i="2"/>
  <c r="DV1" i="2"/>
  <c r="DW1" i="2"/>
  <c r="DX1" i="2"/>
  <c r="DY1" i="2"/>
  <c r="DZ1" i="2"/>
  <c r="EA1" i="2"/>
  <c r="EB1" i="2"/>
  <c r="EC1" i="2"/>
  <c r="ED1" i="2"/>
  <c r="EE1" i="2"/>
  <c r="EF1" i="2"/>
  <c r="EG1" i="2"/>
  <c r="EH1" i="2"/>
  <c r="EI1" i="2"/>
  <c r="EJ1" i="2"/>
  <c r="EK1" i="2"/>
  <c r="EL1" i="2"/>
  <c r="EM1" i="2"/>
  <c r="EN1" i="2"/>
  <c r="EO1" i="2"/>
  <c r="EP1" i="2"/>
  <c r="EQ1" i="2"/>
  <c r="ER1" i="2"/>
  <c r="ES1" i="2"/>
  <c r="ET1" i="2"/>
  <c r="EU1" i="2"/>
  <c r="EV1" i="2"/>
  <c r="EW1" i="2"/>
  <c r="EX1" i="2"/>
  <c r="EY1" i="2"/>
  <c r="EZ1" i="2"/>
  <c r="FA1" i="2"/>
  <c r="FB1" i="2"/>
  <c r="FC1" i="2"/>
  <c r="FD1" i="2"/>
  <c r="FE1" i="2"/>
  <c r="FF1" i="2"/>
  <c r="FG1" i="2"/>
  <c r="FH1" i="2"/>
  <c r="FI1" i="2"/>
  <c r="FJ1" i="2"/>
  <c r="FK1" i="2"/>
  <c r="FL1" i="2"/>
  <c r="FM1" i="2"/>
  <c r="FN1" i="2"/>
  <c r="FO1" i="2"/>
  <c r="FP1" i="2"/>
  <c r="FQ1" i="2"/>
  <c r="FR1" i="2"/>
  <c r="FS1" i="2"/>
  <c r="FT1" i="2"/>
  <c r="FU1" i="2"/>
  <c r="FV1" i="2"/>
  <c r="FW1" i="2"/>
  <c r="FX1" i="2"/>
  <c r="FY1" i="2"/>
  <c r="FZ1" i="2"/>
  <c r="GA1" i="2"/>
  <c r="GB1" i="2"/>
  <c r="GC1" i="2"/>
  <c r="GD1" i="2"/>
  <c r="GE1" i="2"/>
  <c r="GF1" i="2"/>
  <c r="GG1" i="2"/>
  <c r="GH1" i="2"/>
  <c r="GI1" i="2"/>
  <c r="GJ1" i="2"/>
  <c r="GK1" i="2"/>
  <c r="GL1" i="2"/>
  <c r="GM1" i="2"/>
  <c r="GN1" i="2"/>
  <c r="GO1" i="2"/>
  <c r="GP1" i="2"/>
  <c r="GQ1" i="2"/>
  <c r="GR1" i="2"/>
  <c r="GS1" i="2"/>
  <c r="GT1" i="2"/>
  <c r="GU1" i="2"/>
  <c r="GV1" i="2"/>
  <c r="GW1" i="2"/>
  <c r="GX1" i="2"/>
  <c r="GY1" i="2"/>
  <c r="GZ1" i="2"/>
  <c r="HA1" i="2"/>
  <c r="HB1" i="2"/>
  <c r="HC1" i="2"/>
  <c r="HD1" i="2"/>
  <c r="HE1" i="2"/>
  <c r="HF1" i="2"/>
  <c r="HG1" i="2"/>
  <c r="HH1" i="2"/>
  <c r="HI1" i="2"/>
  <c r="HJ1" i="2"/>
  <c r="HK1" i="2"/>
  <c r="HL1" i="2"/>
  <c r="HM1" i="2"/>
  <c r="HN1" i="2"/>
  <c r="HO1" i="2"/>
  <c r="HP1" i="2"/>
  <c r="HQ1" i="2"/>
  <c r="HR1" i="2"/>
  <c r="HS1" i="2"/>
  <c r="HT1" i="2"/>
  <c r="HU1" i="2"/>
  <c r="HV1" i="2"/>
  <c r="HW1" i="2"/>
  <c r="HX1" i="2"/>
  <c r="HY1" i="2"/>
  <c r="HZ1" i="2"/>
  <c r="IA1" i="2"/>
  <c r="IB1" i="2"/>
  <c r="IC1" i="2"/>
  <c r="ID1" i="2"/>
  <c r="IE1" i="2"/>
  <c r="IF1" i="2"/>
  <c r="IG1" i="2"/>
  <c r="IH1" i="2"/>
  <c r="II1" i="2"/>
  <c r="IJ1" i="2"/>
  <c r="IK1" i="2"/>
  <c r="IL1" i="2"/>
  <c r="IM1" i="2"/>
  <c r="IN1" i="2"/>
  <c r="IO1" i="2"/>
  <c r="IP1" i="2"/>
  <c r="IQ1" i="2"/>
  <c r="IR1" i="2"/>
  <c r="IS1" i="2"/>
  <c r="IT1" i="2"/>
  <c r="IU1" i="2"/>
  <c r="IV1" i="2"/>
  <c r="B17" i="1"/>
  <c r="C17" i="1"/>
  <c r="C19" i="1"/>
  <c r="D17" i="1"/>
  <c r="D19" i="1"/>
  <c r="E17" i="1"/>
  <c r="E19" i="1"/>
  <c r="F17" i="1"/>
  <c r="F19" i="1"/>
  <c r="G17" i="1"/>
  <c r="G19" i="1"/>
  <c r="H17" i="1"/>
  <c r="H19" i="1"/>
  <c r="I17" i="1"/>
  <c r="I19" i="1"/>
  <c r="B18" i="1"/>
  <c r="B20" i="1"/>
  <c r="C18" i="1"/>
  <c r="C20" i="1"/>
  <c r="D18" i="1"/>
  <c r="D20" i="1"/>
  <c r="E18" i="1"/>
  <c r="E20" i="1"/>
  <c r="F18" i="1"/>
  <c r="F20" i="1"/>
  <c r="G18" i="1"/>
  <c r="G20" i="1"/>
  <c r="H18" i="1"/>
  <c r="H20" i="1"/>
  <c r="I18" i="1"/>
  <c r="I20" i="1"/>
  <c r="B24" i="1"/>
  <c r="B27" i="1"/>
  <c r="B23" i="1"/>
  <c r="B31" i="1"/>
  <c r="B19" i="1"/>
  <c r="B25" i="1"/>
  <c r="B26" i="1"/>
  <c r="B28" i="1"/>
  <c r="B32" i="1"/>
</calcChain>
</file>

<file path=xl/sharedStrings.xml><?xml version="1.0" encoding="utf-8"?>
<sst xmlns="http://schemas.openxmlformats.org/spreadsheetml/2006/main" count="50" uniqueCount="44">
  <si>
    <t>ケーターの可逆振り子を用いた重力加速度の測定</t>
  </si>
  <si>
    <t>表1 測定結果</t>
  </si>
  <si>
    <t>おもり(小)の位置</t>
  </si>
  <si>
    <r>
      <t>x</t>
    </r>
    <r>
      <rPr>
        <sz val="6"/>
        <rFont val="Arial"/>
        <family val="2"/>
      </rPr>
      <t>1</t>
    </r>
    <phoneticPr fontId="4"/>
  </si>
  <si>
    <r>
      <t>x</t>
    </r>
    <r>
      <rPr>
        <sz val="6"/>
        <rFont val="Arial"/>
        <family val="2"/>
      </rPr>
      <t>2</t>
    </r>
    <phoneticPr fontId="4"/>
  </si>
  <si>
    <r>
      <t>x</t>
    </r>
    <r>
      <rPr>
        <sz val="6"/>
        <rFont val="Arial"/>
        <family val="2"/>
      </rPr>
      <t>3</t>
    </r>
    <phoneticPr fontId="4"/>
  </si>
  <si>
    <r>
      <t>x</t>
    </r>
    <r>
      <rPr>
        <sz val="6"/>
        <rFont val="Arial"/>
        <family val="2"/>
      </rPr>
      <t>4</t>
    </r>
    <phoneticPr fontId="4"/>
  </si>
  <si>
    <t>測定値(10周期分)</t>
  </si>
  <si>
    <r>
      <t>10T</t>
    </r>
    <r>
      <rPr>
        <sz val="6"/>
        <rFont val="Arial"/>
        <family val="2"/>
      </rPr>
      <t>A</t>
    </r>
    <r>
      <rPr>
        <sz val="10"/>
        <rFont val="Arial"/>
        <family val="2"/>
      </rPr>
      <t>[s]</t>
    </r>
    <phoneticPr fontId="4"/>
  </si>
  <si>
    <r>
      <t>10T</t>
    </r>
    <r>
      <rPr>
        <sz val="6"/>
        <rFont val="Arial"/>
        <family val="2"/>
      </rPr>
      <t>B</t>
    </r>
    <r>
      <rPr>
        <sz val="10"/>
        <rFont val="Arial"/>
        <family val="2"/>
      </rPr>
      <t>[s]</t>
    </r>
    <phoneticPr fontId="4"/>
  </si>
  <si>
    <t>1回目</t>
  </si>
  <si>
    <t>2回目</t>
  </si>
  <si>
    <t>3回目</t>
  </si>
  <si>
    <t>4回目</t>
  </si>
  <si>
    <t>5回目(任意)</t>
  </si>
  <si>
    <t>6回目(任意)</t>
  </si>
  <si>
    <t>7回目(任意)</t>
  </si>
  <si>
    <t>8回目(任意)</t>
  </si>
  <si>
    <t>9回目(任意)</t>
  </si>
  <si>
    <t>10回目(任意)</t>
  </si>
  <si>
    <t>測定値の平均(10周期分)</t>
  </si>
  <si>
    <t>測定値の実験標準偏差(10周期分)</t>
  </si>
  <si>
    <t>測定値の平均(1周期分)</t>
  </si>
  <si>
    <t>平均値の実験標準偏差(1周期分)</t>
  </si>
  <si>
    <r>
      <rPr>
        <sz val="10"/>
        <rFont val="ＭＳ Ｐゴシック"/>
        <family val="3"/>
        <charset val="128"/>
      </rPr>
      <t>表</t>
    </r>
    <r>
      <rPr>
        <sz val="10"/>
        <rFont val="Arial"/>
        <family val="2"/>
      </rPr>
      <t xml:space="preserve">2 </t>
    </r>
    <r>
      <rPr>
        <sz val="10"/>
        <rFont val="ＭＳ Ｐゴシック"/>
        <family val="3"/>
        <charset val="128"/>
      </rPr>
      <t>算出された実験値など</t>
    </r>
    <phoneticPr fontId="4"/>
  </si>
  <si>
    <t>凡例：</t>
  </si>
  <si>
    <t>測定値(必須)</t>
  </si>
  <si>
    <r>
      <t>T</t>
    </r>
    <r>
      <rPr>
        <sz val="6"/>
        <rFont val="Arial"/>
        <family val="2"/>
      </rPr>
      <t>0</t>
    </r>
    <r>
      <rPr>
        <sz val="10"/>
        <rFont val="Arial"/>
        <family val="2"/>
      </rPr>
      <t>[s]</t>
    </r>
    <phoneticPr fontId="4"/>
  </si>
  <si>
    <r>
      <rPr>
        <sz val="10"/>
        <rFont val="ＭＳ Ｐゴシック"/>
        <family val="3"/>
        <charset val="128"/>
      </rPr>
      <t>※表</t>
    </r>
    <r>
      <rPr>
        <sz val="10"/>
        <rFont val="Arial"/>
        <family val="2"/>
      </rPr>
      <t>1</t>
    </r>
    <r>
      <rPr>
        <sz val="10"/>
        <rFont val="ＭＳ Ｐゴシック"/>
        <family val="3"/>
        <charset val="128"/>
      </rPr>
      <t>において</t>
    </r>
    <r>
      <rPr>
        <sz val="10"/>
        <rFont val="Arial"/>
        <family val="2"/>
      </rPr>
      <t>TA=TB</t>
    </r>
    <r>
      <rPr>
        <sz val="10"/>
        <rFont val="ＭＳ Ｐゴシック"/>
        <family val="3"/>
        <charset val="128"/>
      </rPr>
      <t>となる</t>
    </r>
    <r>
      <rPr>
        <sz val="10"/>
        <rFont val="Arial"/>
        <family val="2"/>
      </rPr>
      <t>x</t>
    </r>
    <r>
      <rPr>
        <sz val="6"/>
        <rFont val="Arial"/>
        <family val="2"/>
      </rPr>
      <t>i</t>
    </r>
    <r>
      <rPr>
        <sz val="10"/>
        <rFont val="Arial"/>
        <family val="2"/>
      </rPr>
      <t>(i=1,2,3,4)</t>
    </r>
    <r>
      <rPr>
        <sz val="10"/>
        <rFont val="ＭＳ Ｐゴシック"/>
        <family val="3"/>
        <charset val="128"/>
      </rPr>
      <t>が存在する場合、表</t>
    </r>
    <r>
      <rPr>
        <sz val="10"/>
        <rFont val="Arial"/>
        <family val="2"/>
      </rPr>
      <t>2</t>
    </r>
    <r>
      <rPr>
        <sz val="10"/>
        <rFont val="ＭＳ Ｐゴシック"/>
        <family val="3"/>
        <charset val="128"/>
      </rPr>
      <t>には</t>
    </r>
    <r>
      <rPr>
        <sz val="10"/>
        <rFont val="Arial"/>
        <family val="2"/>
      </rPr>
      <t>"error#001"</t>
    </r>
    <r>
      <rPr>
        <sz val="10"/>
        <rFont val="ＭＳ Ｐゴシック"/>
        <family val="3"/>
        <charset val="128"/>
      </rPr>
      <t>が表示されます。お手数ですが、その</t>
    </r>
    <r>
      <rPr>
        <sz val="10"/>
        <rFont val="Arial"/>
        <family val="2"/>
      </rPr>
      <t>xi</t>
    </r>
    <r>
      <rPr>
        <sz val="10"/>
        <rFont val="ＭＳ Ｐゴシック"/>
        <family val="3"/>
        <charset val="128"/>
      </rPr>
      <t>における測定回数を変えてみてください。</t>
    </r>
    <phoneticPr fontId="4"/>
  </si>
  <si>
    <t>測定値(任意)</t>
  </si>
  <si>
    <r>
      <rPr>
        <sz val="10"/>
        <rFont val="ＭＳ Ｐゴシック"/>
        <family val="3"/>
        <charset val="128"/>
      </rPr>
      <t>∂</t>
    </r>
    <r>
      <rPr>
        <sz val="10"/>
        <rFont val="Arial"/>
        <family val="2"/>
      </rPr>
      <t>f/</t>
    </r>
    <r>
      <rPr>
        <sz val="10"/>
        <rFont val="ＭＳ Ｐゴシック"/>
        <family val="3"/>
        <charset val="128"/>
      </rPr>
      <t>∂</t>
    </r>
    <r>
      <rPr>
        <sz val="10"/>
        <rFont val="Arial"/>
        <family val="2"/>
      </rPr>
      <t>T</t>
    </r>
    <r>
      <rPr>
        <sz val="6"/>
        <rFont val="Arial"/>
        <family val="2"/>
      </rPr>
      <t>Ai</t>
    </r>
    <phoneticPr fontId="4"/>
  </si>
  <si>
    <t>与えられた値</t>
  </si>
  <si>
    <r>
      <rPr>
        <sz val="10"/>
        <rFont val="ＭＳ Ｐゴシック"/>
        <family val="3"/>
        <charset val="128"/>
      </rPr>
      <t>∂</t>
    </r>
    <r>
      <rPr>
        <sz val="10"/>
        <rFont val="Arial"/>
        <family val="2"/>
      </rPr>
      <t>f/</t>
    </r>
    <r>
      <rPr>
        <sz val="10"/>
        <rFont val="ＭＳ Ｐゴシック"/>
        <family val="3"/>
        <charset val="128"/>
      </rPr>
      <t>∂</t>
    </r>
    <r>
      <rPr>
        <sz val="10"/>
        <rFont val="Arial"/>
        <family val="2"/>
      </rPr>
      <t>T</t>
    </r>
    <r>
      <rPr>
        <sz val="6"/>
        <rFont val="Arial"/>
        <family val="2"/>
      </rPr>
      <t>Bi</t>
    </r>
    <phoneticPr fontId="4"/>
  </si>
  <si>
    <t>実験値</t>
  </si>
  <si>
    <r>
      <rPr>
        <sz val="10"/>
        <rFont val="ＭＳ Ｐゴシック"/>
        <family val="3"/>
        <charset val="128"/>
      </rPr>
      <t>∂</t>
    </r>
    <r>
      <rPr>
        <sz val="10"/>
        <rFont val="Arial"/>
        <family val="2"/>
      </rPr>
      <t>f/</t>
    </r>
    <r>
      <rPr>
        <sz val="10"/>
        <rFont val="ＭＳ Ｐゴシック"/>
        <family val="3"/>
        <charset val="128"/>
      </rPr>
      <t>∂</t>
    </r>
    <r>
      <rPr>
        <sz val="10"/>
        <rFont val="Arial"/>
        <family val="2"/>
      </rPr>
      <t>T</t>
    </r>
    <r>
      <rPr>
        <sz val="6"/>
        <rFont val="Arial"/>
        <family val="2"/>
      </rPr>
      <t>Aj</t>
    </r>
    <phoneticPr fontId="4"/>
  </si>
  <si>
    <r>
      <rPr>
        <sz val="10"/>
        <rFont val="ＭＳ Ｐゴシック"/>
        <family val="3"/>
        <charset val="128"/>
      </rPr>
      <t>∂</t>
    </r>
    <r>
      <rPr>
        <sz val="10"/>
        <rFont val="Arial"/>
        <family val="2"/>
      </rPr>
      <t>f/</t>
    </r>
    <r>
      <rPr>
        <sz val="10"/>
        <rFont val="ＭＳ Ｐゴシック"/>
        <family val="3"/>
        <charset val="128"/>
      </rPr>
      <t>∂</t>
    </r>
    <r>
      <rPr>
        <sz val="10"/>
        <rFont val="Arial"/>
        <family val="2"/>
      </rPr>
      <t>T</t>
    </r>
    <r>
      <rPr>
        <sz val="6"/>
        <rFont val="Arial"/>
        <family val="2"/>
      </rPr>
      <t>Bj</t>
    </r>
    <phoneticPr fontId="4"/>
  </si>
  <si>
    <t>※i&gt;j</t>
  </si>
  <si>
    <t>～東京大学基礎物理学実験を履修中の方へ～</t>
  </si>
  <si>
    <r>
      <t>ΔT</t>
    </r>
    <r>
      <rPr>
        <sz val="6"/>
        <rFont val="Arial"/>
        <family val="2"/>
      </rPr>
      <t>0</t>
    </r>
    <r>
      <rPr>
        <sz val="10"/>
        <rFont val="Arial"/>
        <family val="2"/>
      </rPr>
      <t>[s]</t>
    </r>
    <phoneticPr fontId="4"/>
  </si>
  <si>
    <t>このファイルは実験終了後の検算目的での使用を想定して作成されたものです。実験では各自で計算するようにしてください。特に実験中の使用は固くご遠慮願います。実験中のスマートフォン及びノートパソコンの使用は禁止されています。ご利用によって生じたいかなる損害につきましても、当方では一切の責任を負いかねます。</t>
  </si>
  <si>
    <r>
      <t>L</t>
    </r>
    <r>
      <rPr>
        <sz val="6"/>
        <rFont val="Arial"/>
        <family val="2"/>
      </rPr>
      <t>AB</t>
    </r>
    <r>
      <rPr>
        <sz val="10"/>
        <rFont val="Arial"/>
        <family val="2"/>
      </rPr>
      <t>[mm]</t>
    </r>
    <phoneticPr fontId="4"/>
  </si>
  <si>
    <r>
      <t>ΔL</t>
    </r>
    <r>
      <rPr>
        <sz val="6"/>
        <rFont val="Arial"/>
        <family val="2"/>
      </rPr>
      <t>AB</t>
    </r>
    <r>
      <rPr>
        <sz val="10"/>
        <rFont val="Arial"/>
        <family val="2"/>
      </rPr>
      <t>[mm]</t>
    </r>
    <phoneticPr fontId="4"/>
  </si>
  <si>
    <t>g[m/s^2]</t>
    <phoneticPr fontId="4"/>
  </si>
  <si>
    <t>Δg[m/s^2]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</si>
</sst>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000"/>
  </numFmts>
  <fonts count="7">
    <font>
      <sz val="10"/>
      <name val="Arial"/>
      <family val="2"/>
    </font>
    <font>
      <b/>
      <sz val="18"/>
      <color indexed="8"/>
      <name val="Arial"/>
      <family val="2"/>
    </font>
    <font>
      <b/>
      <sz val="10"/>
      <color indexed="13"/>
      <name val="Arial"/>
      <family val="2"/>
    </font>
    <font>
      <b/>
      <sz val="10"/>
      <name val="Arial"/>
      <family val="2"/>
    </font>
    <font>
      <sz val="6"/>
      <name val="ＭＳ Ｐゴシック"/>
      <family val="3"/>
      <charset val="128"/>
    </font>
    <font>
      <sz val="6"/>
      <name val="Arial"/>
      <family val="2"/>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12"/>
        <bgColor indexed="64"/>
      </patternFill>
    </fill>
    <fill>
      <patternFill patternType="solid">
        <fgColor indexed="1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4" fontId="2" fillId="2" borderId="1" xfId="0" applyNumberFormat="1" applyFont="1" applyFill="1" applyBorder="1" applyAlignment="1">
      <alignment vertical="center" wrapText="1"/>
    </xf>
    <xf numFmtId="4" fontId="2" fillId="3" borderId="1" xfId="0" applyNumberFormat="1" applyFont="1" applyFill="1" applyBorder="1" applyAlignment="1">
      <alignment vertical="center" wrapText="1"/>
    </xf>
    <xf numFmtId="176" fontId="2" fillId="4" borderId="1" xfId="0" applyNumberFormat="1" applyFont="1" applyFill="1" applyBorder="1" applyAlignment="1">
      <alignment vertical="center" wrapText="1"/>
    </xf>
    <xf numFmtId="177" fontId="2" fillId="4" borderId="1" xfId="0" applyNumberFormat="1" applyFont="1" applyFill="1" applyBorder="1" applyAlignment="1">
      <alignment vertical="center" wrapText="1"/>
    </xf>
    <xf numFmtId="0" fontId="0" fillId="0" borderId="0" xfId="0" applyNumberFormat="1" applyFont="1" applyFill="1" applyAlignment="1">
      <alignment horizontal="right" vertical="center" wrapText="1"/>
    </xf>
    <xf numFmtId="0" fontId="2" fillId="2" borderId="0" xfId="0" applyNumberFormat="1" applyFont="1" applyFill="1" applyAlignment="1">
      <alignment vertical="center" wrapText="1"/>
    </xf>
    <xf numFmtId="0" fontId="2" fillId="3" borderId="0" xfId="0" applyNumberFormat="1" applyFont="1" applyFill="1" applyAlignment="1">
      <alignment vertical="center" wrapText="1"/>
    </xf>
    <xf numFmtId="0" fontId="2" fillId="5" borderId="0" xfId="0" applyNumberFormat="1" applyFont="1" applyFill="1" applyAlignment="1">
      <alignment vertical="center" wrapText="1"/>
    </xf>
    <xf numFmtId="0" fontId="2" fillId="4" borderId="0" xfId="0" applyNumberFormat="1" applyFont="1" applyFill="1" applyAlignment="1">
      <alignment vertical="center" wrapText="1"/>
    </xf>
    <xf numFmtId="0" fontId="0" fillId="0" borderId="0" xfId="0" applyNumberFormat="1" applyFont="1" applyFill="1" applyAlignment="1">
      <alignment wrapText="1"/>
    </xf>
    <xf numFmtId="0" fontId="0" fillId="0" borderId="0" xfId="0" applyNumberFormat="1" applyFont="1" applyFill="1" applyAlignment="1">
      <alignment horizontal="left" vertical="top" wrapText="1"/>
    </xf>
    <xf numFmtId="0" fontId="0" fillId="0" borderId="0" xfId="0" applyNumberFormat="1" applyFont="1" applyFill="1" applyBorder="1" applyAlignment="1">
      <alignment wrapText="1"/>
    </xf>
    <xf numFmtId="0" fontId="0" fillId="0" borderId="0" xfId="0" applyNumberFormat="1" applyFont="1" applyFill="1" applyBorder="1" applyAlignment="1">
      <alignment horizontal="center" vertical="center" wrapText="1"/>
    </xf>
    <xf numFmtId="4" fontId="2" fillId="2" borderId="12" xfId="0" applyNumberFormat="1" applyFont="1" applyFill="1" applyBorder="1" applyAlignment="1">
      <alignment vertical="center" wrapText="1"/>
    </xf>
    <xf numFmtId="4" fontId="2" fillId="3" borderId="12" xfId="0" applyNumberFormat="1" applyFont="1" applyFill="1" applyBorder="1" applyAlignment="1">
      <alignment vertical="center" wrapText="1"/>
    </xf>
    <xf numFmtId="176" fontId="2" fillId="4" borderId="12" xfId="0" applyNumberFormat="1" applyFont="1" applyFill="1" applyBorder="1" applyAlignment="1">
      <alignment vertical="center" wrapText="1"/>
    </xf>
    <xf numFmtId="177" fontId="2" fillId="4" borderId="12" xfId="0" applyNumberFormat="1" applyFont="1" applyFill="1" applyBorder="1" applyAlignment="1">
      <alignment vertical="center" wrapText="1"/>
    </xf>
    <xf numFmtId="177" fontId="2" fillId="4" borderId="13" xfId="0" applyNumberFormat="1" applyFont="1" applyFill="1" applyBorder="1" applyAlignment="1">
      <alignment vertical="center" wrapText="1"/>
    </xf>
    <xf numFmtId="177" fontId="2" fillId="4" borderId="14" xfId="0" applyNumberFormat="1" applyFont="1" applyFill="1" applyBorder="1" applyAlignment="1">
      <alignment vertical="center" wrapText="1"/>
    </xf>
    <xf numFmtId="4" fontId="2" fillId="2" borderId="15" xfId="0" applyNumberFormat="1" applyFont="1" applyFill="1" applyBorder="1" applyAlignment="1">
      <alignment vertical="center" wrapText="1"/>
    </xf>
    <xf numFmtId="4" fontId="2" fillId="2" borderId="16" xfId="0" applyNumberFormat="1" applyFont="1" applyFill="1" applyBorder="1" applyAlignment="1">
      <alignment vertical="center" wrapText="1"/>
    </xf>
    <xf numFmtId="0" fontId="0" fillId="0" borderId="17"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4" fontId="2" fillId="2" borderId="21" xfId="0" applyNumberFormat="1" applyFont="1" applyFill="1" applyBorder="1" applyAlignment="1">
      <alignment vertical="center" wrapText="1"/>
    </xf>
    <xf numFmtId="4" fontId="2" fillId="2" borderId="22" xfId="0" applyNumberFormat="1" applyFont="1" applyFill="1" applyBorder="1" applyAlignment="1">
      <alignment vertical="center" wrapText="1"/>
    </xf>
    <xf numFmtId="4" fontId="2" fillId="3" borderId="22" xfId="0" applyNumberFormat="1" applyFont="1" applyFill="1" applyBorder="1" applyAlignment="1">
      <alignment vertical="center" wrapText="1"/>
    </xf>
    <xf numFmtId="176" fontId="2" fillId="4" borderId="22" xfId="0" applyNumberFormat="1" applyFont="1" applyFill="1" applyBorder="1" applyAlignment="1">
      <alignment vertical="center" wrapText="1"/>
    </xf>
    <xf numFmtId="177" fontId="2" fillId="4" borderId="22" xfId="0" applyNumberFormat="1" applyFont="1" applyFill="1" applyBorder="1" applyAlignment="1">
      <alignment vertical="center" wrapText="1"/>
    </xf>
    <xf numFmtId="177" fontId="2" fillId="4" borderId="23" xfId="0" applyNumberFormat="1" applyFont="1" applyFill="1" applyBorder="1" applyAlignment="1">
      <alignment vertical="center" wrapText="1"/>
    </xf>
    <xf numFmtId="0" fontId="0" fillId="0" borderId="24"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8" xfId="0" applyNumberFormat="1" applyFont="1" applyFill="1" applyBorder="1" applyAlignment="1">
      <alignment horizontal="center" vertical="center" wrapText="1"/>
    </xf>
    <xf numFmtId="0" fontId="0" fillId="0" borderId="0" xfId="0" applyNumberFormat="1" applyFont="1" applyFill="1" applyBorder="1" applyAlignment="1">
      <alignment vertical="center" wrapText="1"/>
    </xf>
    <xf numFmtId="0" fontId="0" fillId="0" borderId="0" xfId="0" applyNumberFormat="1" applyFont="1" applyFill="1" applyAlignment="1">
      <alignment vertical="center" wrapText="1"/>
    </xf>
    <xf numFmtId="0" fontId="2" fillId="4" borderId="22"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2" xfId="0" applyNumberFormat="1" applyFont="1" applyFill="1" applyBorder="1" applyAlignment="1">
      <alignment vertical="center" wrapText="1"/>
    </xf>
    <xf numFmtId="0" fontId="1" fillId="0" borderId="0" xfId="0" applyNumberFormat="1" applyFont="1" applyFill="1" applyAlignment="1">
      <alignment horizontal="center" vertical="center" wrapText="1"/>
    </xf>
    <xf numFmtId="0" fontId="0" fillId="0" borderId="0" xfId="0" applyNumberFormat="1" applyFont="1" applyFill="1" applyBorder="1" applyAlignment="1">
      <alignment horizontal="left" vertical="center" wrapText="1"/>
    </xf>
    <xf numFmtId="0" fontId="0" fillId="0" borderId="19" xfId="0" applyNumberFormat="1" applyFont="1" applyFill="1" applyBorder="1" applyAlignment="1">
      <alignment horizontal="center" vertical="center" wrapText="1"/>
    </xf>
    <xf numFmtId="0" fontId="0" fillId="0" borderId="10" xfId="0" applyNumberFormat="1" applyFont="1" applyFill="1" applyBorder="1" applyAlignment="1">
      <alignment horizontal="center" vertical="center" wrapText="1"/>
    </xf>
    <xf numFmtId="0" fontId="0" fillId="0" borderId="11" xfId="0" applyNumberFormat="1" applyFont="1" applyFill="1" applyBorder="1" applyAlignment="1">
      <alignment horizontal="center" vertical="center" wrapText="1"/>
    </xf>
    <xf numFmtId="0" fontId="2" fillId="4" borderId="19" xfId="0" applyNumberFormat="1" applyFont="1" applyFill="1" applyBorder="1" applyAlignment="1">
      <alignment vertical="center" wrapText="1"/>
    </xf>
    <xf numFmtId="0" fontId="2" fillId="0" borderId="10" xfId="0" applyNumberFormat="1" applyFont="1" applyFill="1" applyBorder="1" applyAlignment="1">
      <alignment vertical="center" wrapText="1"/>
    </xf>
    <xf numFmtId="0" fontId="2" fillId="0" borderId="11" xfId="0" applyNumberFormat="1" applyFont="1" applyFill="1" applyBorder="1" applyAlignment="1">
      <alignment vertical="center" wrapText="1"/>
    </xf>
    <xf numFmtId="0" fontId="0" fillId="0" borderId="0" xfId="0" applyNumberFormat="1" applyFont="1" applyFill="1" applyBorder="1" applyAlignment="1">
      <alignment vertical="center" wrapText="1"/>
    </xf>
    <xf numFmtId="0" fontId="0" fillId="0" borderId="0" xfId="0" applyNumberFormat="1" applyFont="1" applyFill="1" applyAlignment="1">
      <alignment vertical="center" wrapText="1"/>
    </xf>
    <xf numFmtId="0" fontId="2" fillId="4" borderId="23" xfId="0" applyNumberFormat="1" applyFont="1" applyFill="1" applyBorder="1" applyAlignment="1">
      <alignment vertical="center" wrapText="1"/>
    </xf>
    <xf numFmtId="0" fontId="2" fillId="0" borderId="13" xfId="0" applyNumberFormat="1" applyFont="1" applyFill="1" applyBorder="1" applyAlignment="1">
      <alignment vertical="center" wrapText="1"/>
    </xf>
    <xf numFmtId="0" fontId="2" fillId="0" borderId="14" xfId="0"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2" fillId="5" borderId="22" xfId="0" applyNumberFormat="1" applyFont="1" applyFill="1" applyBorder="1" applyAlignment="1">
      <alignment vertical="center" wrapText="1"/>
    </xf>
    <xf numFmtId="0" fontId="0" fillId="0" borderId="5" xfId="0" applyNumberFormat="1" applyFont="1" applyFill="1" applyBorder="1" applyAlignment="1">
      <alignment horizontal="left" vertical="center" wrapText="1"/>
    </xf>
    <xf numFmtId="0" fontId="0" fillId="0" borderId="6"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9"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B5394"/>
      <rgbColor rgb="00F6B26B"/>
      <rgbColor rgb="00F9CB9C"/>
      <rgbColor rgb="00E06666"/>
      <rgbColor rgb="006FA8DC"/>
      <rgbColor rgb="00FF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4"/>
  <sheetViews>
    <sheetView tabSelected="1" zoomScaleNormal="100" workbookViewId="0"/>
  </sheetViews>
  <sheetFormatPr defaultColWidth="17.140625" defaultRowHeight="12.75" customHeight="1"/>
  <cols>
    <col min="1" max="1" width="16.140625" customWidth="1"/>
    <col min="2" max="20" width="17.140625" customWidth="1"/>
  </cols>
  <sheetData>
    <row r="1" spans="1:10">
      <c r="A1" s="37"/>
      <c r="B1" s="37"/>
      <c r="C1" s="37"/>
      <c r="D1" s="37"/>
      <c r="E1" s="37"/>
      <c r="F1" s="37"/>
      <c r="G1" s="37"/>
      <c r="H1" s="37"/>
      <c r="I1" s="37"/>
    </row>
    <row r="2" spans="1:10" ht="23.25">
      <c r="A2" s="37"/>
      <c r="B2" s="41" t="s">
        <v>0</v>
      </c>
      <c r="C2" s="41"/>
      <c r="D2" s="41"/>
      <c r="E2" s="41"/>
      <c r="F2" s="41"/>
      <c r="G2" s="41"/>
      <c r="H2" s="41"/>
      <c r="I2" s="37"/>
    </row>
    <row r="3" spans="1:10">
      <c r="A3" s="37"/>
      <c r="B3" s="37"/>
      <c r="C3" s="37"/>
      <c r="D3" s="37"/>
      <c r="E3" s="37"/>
      <c r="F3" s="37"/>
      <c r="G3" s="37"/>
      <c r="H3" s="37"/>
      <c r="I3" s="37"/>
    </row>
    <row r="4" spans="1:10" ht="13.5" thickBot="1">
      <c r="A4" s="42" t="s">
        <v>1</v>
      </c>
      <c r="B4" s="42"/>
      <c r="C4" s="42"/>
      <c r="D4" s="42"/>
      <c r="E4" s="42"/>
      <c r="F4" s="42"/>
      <c r="G4" s="42"/>
      <c r="H4" s="42"/>
      <c r="I4" s="42"/>
    </row>
    <row r="5" spans="1:10">
      <c r="A5" s="31" t="s">
        <v>2</v>
      </c>
      <c r="B5" s="43" t="s">
        <v>3</v>
      </c>
      <c r="C5" s="44"/>
      <c r="D5" s="44" t="s">
        <v>4</v>
      </c>
      <c r="E5" s="44"/>
      <c r="F5" s="44" t="s">
        <v>5</v>
      </c>
      <c r="G5" s="44"/>
      <c r="H5" s="44" t="s">
        <v>6</v>
      </c>
      <c r="I5" s="45"/>
      <c r="J5" s="12"/>
    </row>
    <row r="6" spans="1:10" ht="25.5">
      <c r="A6" s="32" t="s">
        <v>7</v>
      </c>
      <c r="B6" s="24" t="s">
        <v>8</v>
      </c>
      <c r="C6" s="22" t="s">
        <v>9</v>
      </c>
      <c r="D6" s="22" t="s">
        <v>8</v>
      </c>
      <c r="E6" s="22" t="s">
        <v>9</v>
      </c>
      <c r="F6" s="22" t="s">
        <v>8</v>
      </c>
      <c r="G6" s="22" t="s">
        <v>9</v>
      </c>
      <c r="H6" s="22" t="s">
        <v>8</v>
      </c>
      <c r="I6" s="23" t="s">
        <v>9</v>
      </c>
      <c r="J6" s="12"/>
    </row>
    <row r="7" spans="1:10" ht="13.5" thickTop="1">
      <c r="A7" s="33" t="s">
        <v>10</v>
      </c>
      <c r="B7" s="25"/>
      <c r="C7" s="20"/>
      <c r="D7" s="20"/>
      <c r="E7" s="20"/>
      <c r="F7" s="20"/>
      <c r="G7" s="20"/>
      <c r="H7" s="20"/>
      <c r="I7" s="21"/>
      <c r="J7" s="12"/>
    </row>
    <row r="8" spans="1:10">
      <c r="A8" s="34" t="s">
        <v>11</v>
      </c>
      <c r="B8" s="26"/>
      <c r="C8" s="1"/>
      <c r="D8" s="1"/>
      <c r="E8" s="1"/>
      <c r="F8" s="1"/>
      <c r="G8" s="1"/>
      <c r="H8" s="1"/>
      <c r="I8" s="14"/>
      <c r="J8" s="12"/>
    </row>
    <row r="9" spans="1:10">
      <c r="A9" s="34" t="s">
        <v>12</v>
      </c>
      <c r="B9" s="26"/>
      <c r="C9" s="1"/>
      <c r="D9" s="1"/>
      <c r="E9" s="1"/>
      <c r="F9" s="1"/>
      <c r="G9" s="1"/>
      <c r="H9" s="1"/>
      <c r="I9" s="14"/>
      <c r="J9" s="12"/>
    </row>
    <row r="10" spans="1:10">
      <c r="A10" s="34" t="s">
        <v>13</v>
      </c>
      <c r="B10" s="26"/>
      <c r="C10" s="1"/>
      <c r="D10" s="1"/>
      <c r="E10" s="1"/>
      <c r="F10" s="1"/>
      <c r="G10" s="1"/>
      <c r="H10" s="1"/>
      <c r="I10" s="14"/>
      <c r="J10" s="12"/>
    </row>
    <row r="11" spans="1:10">
      <c r="A11" s="34" t="s">
        <v>14</v>
      </c>
      <c r="B11" s="27"/>
      <c r="C11" s="2"/>
      <c r="D11" s="2"/>
      <c r="E11" s="2"/>
      <c r="F11" s="2"/>
      <c r="G11" s="2"/>
      <c r="H11" s="2"/>
      <c r="I11" s="15"/>
      <c r="J11" s="12"/>
    </row>
    <row r="12" spans="1:10">
      <c r="A12" s="34" t="s">
        <v>15</v>
      </c>
      <c r="B12" s="27"/>
      <c r="C12" s="2"/>
      <c r="D12" s="2"/>
      <c r="E12" s="2"/>
      <c r="F12" s="2"/>
      <c r="G12" s="2"/>
      <c r="H12" s="2"/>
      <c r="I12" s="15"/>
      <c r="J12" s="12"/>
    </row>
    <row r="13" spans="1:10">
      <c r="A13" s="34" t="s">
        <v>16</v>
      </c>
      <c r="B13" s="27"/>
      <c r="C13" s="2"/>
      <c r="D13" s="2"/>
      <c r="E13" s="2"/>
      <c r="F13" s="2"/>
      <c r="G13" s="2"/>
      <c r="H13" s="2"/>
      <c r="I13" s="15"/>
      <c r="J13" s="12"/>
    </row>
    <row r="14" spans="1:10">
      <c r="A14" s="34" t="s">
        <v>17</v>
      </c>
      <c r="B14" s="27"/>
      <c r="C14" s="2"/>
      <c r="D14" s="2"/>
      <c r="E14" s="2"/>
      <c r="F14" s="2"/>
      <c r="G14" s="2"/>
      <c r="H14" s="2"/>
      <c r="I14" s="15"/>
      <c r="J14" s="12"/>
    </row>
    <row r="15" spans="1:10">
      <c r="A15" s="34" t="s">
        <v>18</v>
      </c>
      <c r="B15" s="27"/>
      <c r="C15" s="2"/>
      <c r="D15" s="2"/>
      <c r="E15" s="2"/>
      <c r="F15" s="2"/>
      <c r="G15" s="2"/>
      <c r="H15" s="2"/>
      <c r="I15" s="15"/>
      <c r="J15" s="12"/>
    </row>
    <row r="16" spans="1:10">
      <c r="A16" s="34" t="s">
        <v>19</v>
      </c>
      <c r="B16" s="27"/>
      <c r="C16" s="2"/>
      <c r="D16" s="2"/>
      <c r="E16" s="2"/>
      <c r="F16" s="2"/>
      <c r="G16" s="2"/>
      <c r="H16" s="2"/>
      <c r="I16" s="15"/>
      <c r="J16" s="12"/>
    </row>
    <row r="17" spans="1:10" ht="25.5">
      <c r="A17" s="34" t="s">
        <v>20</v>
      </c>
      <c r="B17" s="28" t="str">
        <f t="shared" ref="B17:I17" si="0">IF((COUNT(B7:B16)&gt;3),AVERAGE(B7:B16),"測定回数が不足しています")</f>
        <v>測定回数が不足しています</v>
      </c>
      <c r="C17" s="3" t="str">
        <f t="shared" si="0"/>
        <v>測定回数が不足しています</v>
      </c>
      <c r="D17" s="3" t="str">
        <f t="shared" si="0"/>
        <v>測定回数が不足しています</v>
      </c>
      <c r="E17" s="3" t="str">
        <f t="shared" si="0"/>
        <v>測定回数が不足しています</v>
      </c>
      <c r="F17" s="3" t="str">
        <f t="shared" si="0"/>
        <v>測定回数が不足しています</v>
      </c>
      <c r="G17" s="3" t="str">
        <f t="shared" si="0"/>
        <v>測定回数が不足しています</v>
      </c>
      <c r="H17" s="3" t="str">
        <f t="shared" si="0"/>
        <v>測定回数が不足しています</v>
      </c>
      <c r="I17" s="16" t="str">
        <f t="shared" si="0"/>
        <v>測定回数が不足しています</v>
      </c>
      <c r="J17" s="12"/>
    </row>
    <row r="18" spans="1:10" ht="25.5">
      <c r="A18" s="34" t="s">
        <v>21</v>
      </c>
      <c r="B18" s="28" t="str">
        <f t="shared" ref="B18:I18" si="1">IF((COUNT(B7:B16)&gt;3),STDEV(B7:B16),"4回以上測定を行なってください")</f>
        <v>4回以上測定を行なってください</v>
      </c>
      <c r="C18" s="3" t="str">
        <f t="shared" si="1"/>
        <v>4回以上測定を行なってください</v>
      </c>
      <c r="D18" s="3" t="str">
        <f t="shared" si="1"/>
        <v>4回以上測定を行なってください</v>
      </c>
      <c r="E18" s="3" t="str">
        <f t="shared" si="1"/>
        <v>4回以上測定を行なってください</v>
      </c>
      <c r="F18" s="3" t="str">
        <f t="shared" si="1"/>
        <v>4回以上測定を行なってください</v>
      </c>
      <c r="G18" s="3" t="str">
        <f t="shared" si="1"/>
        <v>4回以上測定を行なってください</v>
      </c>
      <c r="H18" s="3" t="str">
        <f t="shared" si="1"/>
        <v>4回以上測定を行なってください</v>
      </c>
      <c r="I18" s="16" t="str">
        <f t="shared" si="1"/>
        <v>4回以上測定を行なってください</v>
      </c>
      <c r="J18" s="12"/>
    </row>
    <row r="19" spans="1:10" ht="25.5">
      <c r="A19" s="34" t="s">
        <v>22</v>
      </c>
      <c r="B19" s="29" t="str">
        <f t="shared" ref="B19:I19" si="2">IF((COUNT(B7:B16)&gt;3),(B17/10),"測定回数が不足しています")</f>
        <v>測定回数が不足しています</v>
      </c>
      <c r="C19" s="4" t="str">
        <f t="shared" si="2"/>
        <v>測定回数が不足しています</v>
      </c>
      <c r="D19" s="4" t="str">
        <f t="shared" si="2"/>
        <v>測定回数が不足しています</v>
      </c>
      <c r="E19" s="4" t="str">
        <f t="shared" si="2"/>
        <v>測定回数が不足しています</v>
      </c>
      <c r="F19" s="4" t="str">
        <f t="shared" si="2"/>
        <v>測定回数が不足しています</v>
      </c>
      <c r="G19" s="4" t="str">
        <f t="shared" si="2"/>
        <v>測定回数が不足しています</v>
      </c>
      <c r="H19" s="4" t="str">
        <f t="shared" si="2"/>
        <v>測定回数が不足しています</v>
      </c>
      <c r="I19" s="17" t="str">
        <f t="shared" si="2"/>
        <v>測定回数が不足しています</v>
      </c>
      <c r="J19" s="12"/>
    </row>
    <row r="20" spans="1:10" ht="26.25" thickBot="1">
      <c r="A20" s="35" t="s">
        <v>23</v>
      </c>
      <c r="B20" s="30" t="str">
        <f t="shared" ref="B20:I20" si="3">IF((COUNT(B7:B16)&gt;3),(B18/(10*(COUNT(B7:B16)^0.5))),"4回以上測定を行なってください")</f>
        <v>4回以上測定を行なってください</v>
      </c>
      <c r="C20" s="18" t="str">
        <f t="shared" si="3"/>
        <v>4回以上測定を行なってください</v>
      </c>
      <c r="D20" s="18" t="str">
        <f t="shared" si="3"/>
        <v>4回以上測定を行なってください</v>
      </c>
      <c r="E20" s="18" t="str">
        <f t="shared" si="3"/>
        <v>4回以上測定を行なってください</v>
      </c>
      <c r="F20" s="18" t="str">
        <f t="shared" si="3"/>
        <v>4回以上測定を行なってください</v>
      </c>
      <c r="G20" s="18" t="str">
        <f t="shared" si="3"/>
        <v>4回以上測定を行なってください</v>
      </c>
      <c r="H20" s="18" t="str">
        <f t="shared" si="3"/>
        <v>4回以上測定を行なってください</v>
      </c>
      <c r="I20" s="19" t="str">
        <f t="shared" si="3"/>
        <v>4回以上測定を行なってください</v>
      </c>
      <c r="J20" s="12"/>
    </row>
    <row r="21" spans="1:10">
      <c r="A21" s="13"/>
      <c r="B21" s="36"/>
      <c r="C21" s="36"/>
      <c r="D21" s="36"/>
      <c r="E21" s="36"/>
      <c r="F21" s="36"/>
      <c r="G21" s="36"/>
      <c r="H21" s="36"/>
      <c r="I21" s="36"/>
    </row>
    <row r="22" spans="1:10" ht="13.5" thickBot="1">
      <c r="A22" s="42" t="s">
        <v>24</v>
      </c>
      <c r="B22" s="42"/>
      <c r="C22" s="42"/>
      <c r="D22" s="42"/>
      <c r="E22" s="37"/>
      <c r="F22" s="37"/>
      <c r="G22" s="37"/>
      <c r="H22" s="5" t="s">
        <v>25</v>
      </c>
      <c r="I22" s="6" t="s">
        <v>26</v>
      </c>
    </row>
    <row r="23" spans="1:10">
      <c r="A23" s="31" t="s">
        <v>27</v>
      </c>
      <c r="B23" s="46" t="str">
        <f>IFERROR(IF((((((B17-C17)*(D17-E17))*(F17-G17))*(H17-I17))=0),"error#001",IF((((((B17-C17)*(D17-E17))*(F17-G17))*(H17-I17))&lt;0),IF(AND((((B17-C17)*(D17-E17))&lt;=0),(((D17-E17)*(F17-G17))&gt;0)),(((B19*E19)-(C19*D19))/(((E19-D19)+B19)-C19)),IF((((F17-G17)*(H17-I17))&lt;=0),(((F19*I19)-(G19*H19))/(((I19-H19)+F19)-G19)),"測定が正しく行われていない恐れがあります")),IF((((B17-C17)*(D17-E17))&lt;=0),"測定が正しく行われていない恐れがあります",IF((((B17-C17)*(H17-I17))&gt;0),"測定が正しく行われていない恐れがあります",(((D19*G19)-(E19*F19))/(((G19-F19)+D19)-E19)))))),"測定値が不十分です")</f>
        <v>測定値が不十分です</v>
      </c>
      <c r="C23" s="47"/>
      <c r="D23" s="48"/>
      <c r="E23" s="49" t="s">
        <v>28</v>
      </c>
      <c r="F23" s="50"/>
      <c r="G23" s="50"/>
      <c r="H23" s="37"/>
      <c r="I23" s="7" t="s">
        <v>29</v>
      </c>
    </row>
    <row r="24" spans="1:10">
      <c r="A24" s="34" t="s">
        <v>30</v>
      </c>
      <c r="B24" s="38" t="str">
        <f>IFERROR(IF((((((B17-C17)*(D17-E17))*(F17-G17))*(H17-I17))=0),"error#001",IF((((((B17-C17)*(D17-E17))*(F17-G17))*(H17-I17))&lt;0),IF(AND((((B17-C17)*(D17-E17))&lt;=0),(((D17-E17)*(F17-G17))&gt;0)),(((-C19/(((E19-D19)+B19)-C19))+(((E19*B19)-(D19*C19))/((((E19-D19)+B19)-C19)^2)))),IF((((F17-G17)*(H17-I17))&lt;=0),(((-G19/(((I19-H19)+F19)-G19))+(((I19*F19)-(H19*G19))/((((I19-H19)+F19)-G19)^2)))),"測定が正しく行われていない恐れがあります")),IF((((B17-C17)*(D17-E17))&lt;=0),"測定が正しく行われていない恐れがあります",IF((((B17-C17)*(H17-I17))&gt;0),"測定が正しく行われていない恐れがあります",(((-E19/(((G19-F19)+D19)-E19))+(((G19*D19)-(F19*E19))/((((G19-F19)+D19)-E19)^2)))))))),"測定値が不十分です")</f>
        <v>測定値が不十分です</v>
      </c>
      <c r="C24" s="39"/>
      <c r="D24" s="40"/>
      <c r="E24" s="49"/>
      <c r="F24" s="50"/>
      <c r="G24" s="50"/>
      <c r="H24" s="37"/>
      <c r="I24" s="8" t="s">
        <v>31</v>
      </c>
    </row>
    <row r="25" spans="1:10">
      <c r="A25" s="34" t="s">
        <v>32</v>
      </c>
      <c r="B25" s="38" t="str">
        <f>IFERROR(IF((((((B17-C17)*(D17-E17))*(F17-G17))*(H17-I17))=0),"error#001",IF((((((B17-C17)*(D17-E17))*(F17-G17))*(H17-I17))&lt;0),IF(AND((((B17-C17)*(D17-E17))&lt;=0),(((D17-E17)*(F17-G17))&gt;0)),(((B19/(((E19-D19)+B19)-C19))-(((E19*B19)-(D19*C19))/((((E19-D19)+B19)-C19)^2)))),IF((((F17-G17)*(H17-I17))&lt;=0),(((F19/(((I19-H19)+F19)-G19))-(((I19*F19)-(H19*G19))/((((I19-H19)+F19)-G19)^2)))),"測定が正しく行われていない恐れがあります")),IF((((B17-C17)*(D17-E17))&lt;=0),"測定が正しく行われていない恐れがあります",IF((((B17-C17)*(H17-I17))&gt;0),"測定が正しく行われていない恐れがあります",(((D19/(((G19-F19)+D19)-E19))-(((G19*D19)-(F19*E19))/((((G19-F19)+D19)-E19)^2)))))))),"測定値が不十分です")</f>
        <v>測定値が不十分です</v>
      </c>
      <c r="C25" s="39"/>
      <c r="D25" s="40"/>
      <c r="E25" s="49"/>
      <c r="F25" s="50"/>
      <c r="G25" s="50"/>
      <c r="H25" s="37"/>
      <c r="I25" s="9" t="s">
        <v>33</v>
      </c>
    </row>
    <row r="26" spans="1:10" ht="13.5" thickBot="1">
      <c r="A26" s="34" t="s">
        <v>34</v>
      </c>
      <c r="B26" s="38" t="str">
        <f>IFERROR(IF((((((B17-C17)*(D17-E17))*(F17-G17))*(H17-I17))=0),"error#001",IF((((((B17-C17)*(D17-E17))*(F17-G17))*(H17-I17))&lt;0),IF(AND((((B17-C17)*(D17-E17))&lt;=0),(((D17-E17)*(F17-G17))&gt;0)),(((E19/(((E19-D19)+B19)-C19))-(((E19*B19)-(D19*C19))/((((E19-D19)+B19)-C19)^2)))),IF((((F17-G17)*(H17-I17))&lt;=0),(((I19/(((I19-H19)+F19)-G19))-(((I19*F19)-(H19*G19))/((((I19-H19)+F19)-G19)^2)))),"測定が正しく行われていない恐れがあります")),IF((((B17-C17)*(D17-E17))&lt;=0),"測定が正しく行われていない恐れがあります",IF((((B17-C17)*(H17-I17))&gt;0),"測定が正しく行われていない恐れがあります",(((G19/(((G19-F19)+D19)-E19))-(((G19*D19)-(F19*E19))/((((G19-F19)+D19)-E19)^2)))))))),"測定値が不十分です")</f>
        <v>測定値が不十分です</v>
      </c>
      <c r="C26" s="39"/>
      <c r="D26" s="40"/>
      <c r="E26" s="36"/>
      <c r="F26" s="37"/>
      <c r="G26" s="37"/>
    </row>
    <row r="27" spans="1:10">
      <c r="A27" s="34" t="s">
        <v>35</v>
      </c>
      <c r="B27" s="38" t="str">
        <f>IFERROR(IF((((((B17-C17)*(D17-E17))*(F17-G17))*(H17-I17))=0),"error#001",IF((((((B17-C17)*(D17-E17))*(F17-G17))*(H17-I17))&lt;0),IF(AND((((B17-C17)*(D17-E17))&lt;=0),(((D17-E17)*(F17-G17))&gt;0)),(((-D19/(((E19-D19)+B19)-C19))+(((E19*B19)-(D19*C19))/((((E19-D19)+B19)-C19)^2)))),IF((((F17-G17)*(H17-I17))&lt;=0),(((-H19/(((I19-H19)+F19)-G19))+(((I19*F19)-(H19*G19))/((((I19-H19)+F19)-G19)^2)))),"測定が正しく行われていない恐れがあります")),IF((((B17-C17)*(D17-E17))&lt;=0),"測定が正しく行われていない恐れがあります",IF((((B17-C17)*(H17-I17))&gt;0),"測定が正しく行われていない恐れがあります",(((-F19/(((G19-F19)+D19)-E19))+(((G19*D19)-(F19*E19))/((((G19-F19)+D19)-E19)^2)))))))),"測定値が不十分です")</f>
        <v>測定値が不十分です</v>
      </c>
      <c r="C27" s="39"/>
      <c r="D27" s="40"/>
      <c r="E27" s="36" t="s">
        <v>36</v>
      </c>
      <c r="F27" s="54" t="s">
        <v>37</v>
      </c>
      <c r="G27" s="55"/>
      <c r="H27" s="55"/>
      <c r="I27" s="56"/>
    </row>
    <row r="28" spans="1:10" ht="12.75" customHeight="1">
      <c r="A28" s="34" t="s">
        <v>38</v>
      </c>
      <c r="B28" s="38" t="str">
        <f>IFERROR(IF((((((B17-C17)*(D17-E17))*(F17-G17))*(H17-I17))=0),"error#001",IF((((((B17-C17)*(D17-E17))*(F17-G17))*(H17-I17))&lt;0),IF(AND((((B17-C17)*(D17-E17))&lt;=0),(((D17-E17)*(F17-G17))&gt;0)),((((((B24*D20)^2)+((B25*E20)^2))+((B26*B20)^2))+((B27*C20)^2))^0.5),IF((((F17-G17)*(H17-I17))&lt;=0),((((((B24*H20)^2)+((B25*I20)^2))+((B26*F20)^2))+((B27*G20)^2))^0.5),"測定が正しく行われていない恐れがあります")),IF((((B17-C17)*(D17-E17))&lt;=0),"測定が正しく行われていない恐れがあります",IF((((B17-C17)*(H17-I17))&gt;0),"測定が正しく行われていない恐れがあります",((((((B24*F20)^2)+((B25*G20)^2))+((B26*D20)^2))+((B27*E20)^2))^0.5))))),"測定値が不十分です")</f>
        <v>測定値が不十分です</v>
      </c>
      <c r="C28" s="39"/>
      <c r="D28" s="40"/>
      <c r="E28" s="36"/>
      <c r="F28" s="58" t="s">
        <v>39</v>
      </c>
      <c r="G28" s="42"/>
      <c r="H28" s="42"/>
      <c r="I28" s="59"/>
    </row>
    <row r="29" spans="1:10" ht="12.75" customHeight="1">
      <c r="A29" s="34" t="s">
        <v>40</v>
      </c>
      <c r="B29" s="57"/>
      <c r="C29" s="39"/>
      <c r="D29" s="40"/>
      <c r="E29" s="36"/>
      <c r="F29" s="58"/>
      <c r="G29" s="42"/>
      <c r="H29" s="42"/>
      <c r="I29" s="59"/>
    </row>
    <row r="30" spans="1:10" ht="12.75" customHeight="1">
      <c r="A30" s="34" t="s">
        <v>41</v>
      </c>
      <c r="B30" s="57"/>
      <c r="C30" s="39"/>
      <c r="D30" s="40"/>
      <c r="E30" s="36"/>
      <c r="F30" s="58"/>
      <c r="G30" s="42"/>
      <c r="H30" s="42"/>
      <c r="I30" s="59"/>
    </row>
    <row r="31" spans="1:10" ht="12.75" customHeight="1">
      <c r="A31" s="34" t="s">
        <v>42</v>
      </c>
      <c r="B31" s="38" t="str">
        <f>IF((B23="error#001"),"error#001",IF((B23="測定が正しく行われていない恐れがあります"),"測定が正しく行われていない恐れがあります",IF((B23="測定値が不十分です"),"測定値が不十分です",IF((B29=0),"LAB[mm]を与えてください",IFERROR(((((4*(PI()^2))*B29)/1000)/(B23^2)),"測定が正しく行われていない恐れがあります")))))</f>
        <v>測定値が不十分です</v>
      </c>
      <c r="C31" s="39"/>
      <c r="D31" s="40"/>
      <c r="E31" s="36"/>
      <c r="F31" s="58"/>
      <c r="G31" s="42"/>
      <c r="H31" s="42"/>
      <c r="I31" s="59"/>
    </row>
    <row r="32" spans="1:10" ht="12.75" customHeight="1">
      <c r="A32" s="35" t="s">
        <v>43</v>
      </c>
      <c r="B32" s="51" t="str">
        <f>IF((B28="error#001"),"error#001",IF((B28="測定が正しく行われていない恐れがあります"),"測定が正しく行われていない恐れがあります",IF((B28="測定値が不十分です"),"測定値が不十分です",IF((B30=0),"ΔLAB[mm]を与えてください",IF((B29=0),"LAB[mm]を与えてください",IFERROR(((((((4*(PI()^2))/(B23^2))*(B30/1000))^2)+((((((-8*(PI()^2))*B29)/1000)/(B23^3))*B28)^2))^0.5),"測定が正しく行われていない恐れがあります"))))))</f>
        <v>測定値が不十分です</v>
      </c>
      <c r="C32" s="52"/>
      <c r="D32" s="53"/>
      <c r="E32" s="36"/>
      <c r="F32" s="60"/>
      <c r="G32" s="61"/>
      <c r="H32" s="61"/>
      <c r="I32" s="62"/>
    </row>
    <row r="33" spans="1:9">
      <c r="A33" s="12"/>
      <c r="B33" s="12"/>
      <c r="C33" s="12"/>
      <c r="D33" s="12"/>
      <c r="E33" s="10"/>
      <c r="F33" s="11"/>
      <c r="G33" s="11"/>
      <c r="H33" s="11"/>
      <c r="I33" s="11"/>
    </row>
    <row r="34" spans="1:9">
      <c r="C34" s="10"/>
      <c r="D34" s="10"/>
      <c r="E34" s="10"/>
      <c r="F34" s="10"/>
      <c r="G34" s="10"/>
    </row>
  </sheetData>
  <mergeCells count="20">
    <mergeCell ref="B32:D32"/>
    <mergeCell ref="B27:D27"/>
    <mergeCell ref="F27:I27"/>
    <mergeCell ref="B28:D28"/>
    <mergeCell ref="B29:D29"/>
    <mergeCell ref="B30:D30"/>
    <mergeCell ref="B31:D31"/>
    <mergeCell ref="F28:I32"/>
    <mergeCell ref="B26:D26"/>
    <mergeCell ref="B2:H2"/>
    <mergeCell ref="A4:I4"/>
    <mergeCell ref="B5:C5"/>
    <mergeCell ref="D5:E5"/>
    <mergeCell ref="F5:G5"/>
    <mergeCell ref="H5:I5"/>
    <mergeCell ref="A22:D22"/>
    <mergeCell ref="B23:D23"/>
    <mergeCell ref="E23:G25"/>
    <mergeCell ref="B24:D24"/>
    <mergeCell ref="B25:D25"/>
  </mergeCells>
  <phoneticPr fontId="4"/>
  <pageMargins left="0.75" right="0.75" top="1" bottom="1" header="0.5" footer="0.5"/>
  <pageSetup paperSize="9" orientation="portrait" horizontalDpi="300" verticalDpi="300" r:id="rId1"/>
  <headerFooter alignWithMargins="0"/>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V2"/>
  <sheetViews>
    <sheetView workbookViewId="0"/>
  </sheetViews>
  <sheetFormatPr defaultRowHeight="12.75"/>
  <sheetData>
    <row r="1" spans="1:256">
      <c r="A1">
        <f>IF(シート1!1:1,"AAAAAA8H7wA=",0)</f>
        <v>0</v>
      </c>
      <c r="B1" t="e">
        <f>AND(シート1!A1,"AAAAAA8H7wE=")</f>
        <v>#VALUE!</v>
      </c>
      <c r="C1" t="e">
        <f>AND(シート1!B1,"AAAAAA8H7wI=")</f>
        <v>#VALUE!</v>
      </c>
      <c r="D1" t="e">
        <f>AND(シート1!C1,"AAAAAA8H7wM=")</f>
        <v>#VALUE!</v>
      </c>
      <c r="E1" t="e">
        <f>AND(シート1!D1,"AAAAAA8H7wQ=")</f>
        <v>#VALUE!</v>
      </c>
      <c r="F1" t="e">
        <f>AND(シート1!E1,"AAAAAA8H7wU=")</f>
        <v>#VALUE!</v>
      </c>
      <c r="G1" t="e">
        <f>AND(シート1!F1,"AAAAAA8H7wY=")</f>
        <v>#VALUE!</v>
      </c>
      <c r="H1" t="e">
        <f>AND(シート1!G1,"AAAAAA8H7wc=")</f>
        <v>#VALUE!</v>
      </c>
      <c r="I1" t="e">
        <f>AND(シート1!H1,"AAAAAA8H7wg=")</f>
        <v>#VALUE!</v>
      </c>
      <c r="J1" t="e">
        <f>AND(シート1!I1,"AAAAAA8H7wk=")</f>
        <v>#VALUE!</v>
      </c>
      <c r="K1" t="e">
        <f>AND(シート1!J1,"AAAAAA8H7wo=")</f>
        <v>#VALUE!</v>
      </c>
      <c r="L1">
        <f>IF(シート1!2:2,"AAAAAA8H7ws=",0)</f>
        <v>0</v>
      </c>
      <c r="M1" t="e">
        <f>AND(シート1!A2,"AAAAAA8H7ww=")</f>
        <v>#VALUE!</v>
      </c>
      <c r="N1" t="e">
        <f>AND(シート1!B2,"AAAAAA8H7w0=")</f>
        <v>#VALUE!</v>
      </c>
      <c r="O1" t="e">
        <f>AND(シート1!C2,"AAAAAA8H7w4=")</f>
        <v>#VALUE!</v>
      </c>
      <c r="P1" t="e">
        <f>AND(シート1!D2,"AAAAAA8H7w8=")</f>
        <v>#VALUE!</v>
      </c>
      <c r="Q1" t="e">
        <f>AND(シート1!E2,"AAAAAA8H7xA=")</f>
        <v>#VALUE!</v>
      </c>
      <c r="R1" t="e">
        <f>AND(シート1!F2,"AAAAAA8H7xE=")</f>
        <v>#VALUE!</v>
      </c>
      <c r="S1" t="e">
        <f>AND(シート1!G2,"AAAAAA8H7xI=")</f>
        <v>#VALUE!</v>
      </c>
      <c r="T1" t="e">
        <f>AND(シート1!H2,"AAAAAA8H7xM=")</f>
        <v>#VALUE!</v>
      </c>
      <c r="U1" t="e">
        <f>AND(シート1!I2,"AAAAAA8H7xQ=")</f>
        <v>#VALUE!</v>
      </c>
      <c r="V1" t="e">
        <f>AND(シート1!J2,"AAAAAA8H7xU=")</f>
        <v>#VALUE!</v>
      </c>
      <c r="W1">
        <f>IF(シート1!3:3,"AAAAAA8H7xY=",0)</f>
        <v>0</v>
      </c>
      <c r="X1" t="e">
        <f>AND(シート1!A3,"AAAAAA8H7xc=")</f>
        <v>#VALUE!</v>
      </c>
      <c r="Y1" t="e">
        <f>AND(シート1!B3,"AAAAAA8H7xg=")</f>
        <v>#VALUE!</v>
      </c>
      <c r="Z1" t="e">
        <f>AND(シート1!C3,"AAAAAA8H7xk=")</f>
        <v>#VALUE!</v>
      </c>
      <c r="AA1" t="e">
        <f>AND(シート1!D3,"AAAAAA8H7xo=")</f>
        <v>#VALUE!</v>
      </c>
      <c r="AB1" t="e">
        <f>AND(シート1!E3,"AAAAAA8H7xs=")</f>
        <v>#VALUE!</v>
      </c>
      <c r="AC1" t="e">
        <f>AND(シート1!F3,"AAAAAA8H7xw=")</f>
        <v>#VALUE!</v>
      </c>
      <c r="AD1" t="e">
        <f>AND(シート1!G3,"AAAAAA8H7x0=")</f>
        <v>#VALUE!</v>
      </c>
      <c r="AE1" t="e">
        <f>AND(シート1!H3,"AAAAAA8H7x4=")</f>
        <v>#VALUE!</v>
      </c>
      <c r="AF1" t="e">
        <f>AND(シート1!I3,"AAAAAA8H7x8=")</f>
        <v>#VALUE!</v>
      </c>
      <c r="AG1" t="e">
        <f>AND(シート1!J3,"AAAAAA8H7yA=")</f>
        <v>#VALUE!</v>
      </c>
      <c r="AH1">
        <f>IF(シート1!4:4,"AAAAAA8H7yE=",0)</f>
        <v>0</v>
      </c>
      <c r="AI1" t="e">
        <f>AND(シート1!A4,"AAAAAA8H7yI=")</f>
        <v>#VALUE!</v>
      </c>
      <c r="AJ1" t="e">
        <f>AND(シート1!B4,"AAAAAA8H7yM=")</f>
        <v>#VALUE!</v>
      </c>
      <c r="AK1" t="e">
        <f>AND(シート1!C4,"AAAAAA8H7yQ=")</f>
        <v>#VALUE!</v>
      </c>
      <c r="AL1" t="e">
        <f>AND(シート1!D4,"AAAAAA8H7yU=")</f>
        <v>#VALUE!</v>
      </c>
      <c r="AM1" t="e">
        <f>AND(シート1!E4,"AAAAAA8H7yY=")</f>
        <v>#VALUE!</v>
      </c>
      <c r="AN1" t="e">
        <f>AND(シート1!F4,"AAAAAA8H7yc=")</f>
        <v>#VALUE!</v>
      </c>
      <c r="AO1" t="e">
        <f>AND(シート1!G4,"AAAAAA8H7yg=")</f>
        <v>#VALUE!</v>
      </c>
      <c r="AP1" t="e">
        <f>AND(シート1!H4,"AAAAAA8H7yk=")</f>
        <v>#VALUE!</v>
      </c>
      <c r="AQ1" t="e">
        <f>AND(シート1!I4,"AAAAAA8H7yo=")</f>
        <v>#VALUE!</v>
      </c>
      <c r="AR1" t="e">
        <f>AND(シート1!J4,"AAAAAA8H7ys=")</f>
        <v>#VALUE!</v>
      </c>
      <c r="AS1">
        <f>IF(シート1!5:5,"AAAAAA8H7yw=",0)</f>
        <v>0</v>
      </c>
      <c r="AT1" t="e">
        <f>AND(シート1!A5,"AAAAAA8H7y0=")</f>
        <v>#VALUE!</v>
      </c>
      <c r="AU1" t="e">
        <f>AND(シート1!B5,"AAAAAA8H7y4=")</f>
        <v>#VALUE!</v>
      </c>
      <c r="AV1" t="e">
        <f>AND(シート1!C5,"AAAAAA8H7y8=")</f>
        <v>#VALUE!</v>
      </c>
      <c r="AW1" t="e">
        <f>AND(シート1!D5,"AAAAAA8H7zA=")</f>
        <v>#VALUE!</v>
      </c>
      <c r="AX1" t="e">
        <f>AND(シート1!E5,"AAAAAA8H7zE=")</f>
        <v>#VALUE!</v>
      </c>
      <c r="AY1" t="e">
        <f>AND(シート1!F5,"AAAAAA8H7zI=")</f>
        <v>#VALUE!</v>
      </c>
      <c r="AZ1" t="e">
        <f>AND(シート1!G5,"AAAAAA8H7zM=")</f>
        <v>#VALUE!</v>
      </c>
      <c r="BA1" t="e">
        <f>AND(シート1!H5,"AAAAAA8H7zQ=")</f>
        <v>#VALUE!</v>
      </c>
      <c r="BB1" t="e">
        <f>AND(シート1!I5,"AAAAAA8H7zU=")</f>
        <v>#VALUE!</v>
      </c>
      <c r="BC1" t="e">
        <f>AND(シート1!J5,"AAAAAA8H7zY=")</f>
        <v>#VALUE!</v>
      </c>
      <c r="BD1">
        <f>IF(シート1!6:6,"AAAAAA8H7zc=",0)</f>
        <v>0</v>
      </c>
      <c r="BE1" t="e">
        <f>AND(シート1!A6,"AAAAAA8H7zg=")</f>
        <v>#VALUE!</v>
      </c>
      <c r="BF1" t="e">
        <f>AND(シート1!B6,"AAAAAA8H7zk=")</f>
        <v>#VALUE!</v>
      </c>
      <c r="BG1" t="e">
        <f>AND(シート1!C6,"AAAAAA8H7zo=")</f>
        <v>#VALUE!</v>
      </c>
      <c r="BH1" t="e">
        <f>AND(シート1!D6,"AAAAAA8H7zs=")</f>
        <v>#VALUE!</v>
      </c>
      <c r="BI1" t="e">
        <f>AND(シート1!E6,"AAAAAA8H7zw=")</f>
        <v>#VALUE!</v>
      </c>
      <c r="BJ1" t="e">
        <f>AND(シート1!F6,"AAAAAA8H7z0=")</f>
        <v>#VALUE!</v>
      </c>
      <c r="BK1" t="e">
        <f>AND(シート1!G6,"AAAAAA8H7z4=")</f>
        <v>#VALUE!</v>
      </c>
      <c r="BL1" t="e">
        <f>AND(シート1!H6,"AAAAAA8H7z8=")</f>
        <v>#VALUE!</v>
      </c>
      <c r="BM1" t="e">
        <f>AND(シート1!I6,"AAAAAA8H70A=")</f>
        <v>#VALUE!</v>
      </c>
      <c r="BN1" t="e">
        <f>AND(シート1!J6,"AAAAAA8H70E=")</f>
        <v>#VALUE!</v>
      </c>
      <c r="BO1">
        <f>IF(シート1!7:7,"AAAAAA8H70I=",0)</f>
        <v>0</v>
      </c>
      <c r="BP1" t="e">
        <f>AND(シート1!A7,"AAAAAA8H70M=")</f>
        <v>#VALUE!</v>
      </c>
      <c r="BQ1" t="e">
        <f>AND(シート1!B7,"AAAAAA8H70Q=")</f>
        <v>#VALUE!</v>
      </c>
      <c r="BR1" t="e">
        <f>AND(シート1!C7,"AAAAAA8H70U=")</f>
        <v>#VALUE!</v>
      </c>
      <c r="BS1" t="e">
        <f>AND(シート1!D7,"AAAAAA8H70Y=")</f>
        <v>#VALUE!</v>
      </c>
      <c r="BT1" t="e">
        <f>AND(シート1!E7,"AAAAAA8H70c=")</f>
        <v>#VALUE!</v>
      </c>
      <c r="BU1" t="e">
        <f>AND(シート1!F7,"AAAAAA8H70g=")</f>
        <v>#VALUE!</v>
      </c>
      <c r="BV1" t="e">
        <f>AND(シート1!G7,"AAAAAA8H70k=")</f>
        <v>#VALUE!</v>
      </c>
      <c r="BW1" t="e">
        <f>AND(シート1!H7,"AAAAAA8H70o=")</f>
        <v>#VALUE!</v>
      </c>
      <c r="BX1" t="e">
        <f>AND(シート1!I7,"AAAAAA8H70s=")</f>
        <v>#VALUE!</v>
      </c>
      <c r="BY1" t="e">
        <f>AND(シート1!J7,"AAAAAA8H70w=")</f>
        <v>#VALUE!</v>
      </c>
      <c r="BZ1">
        <f>IF(シート1!8:8,"AAAAAA8H700=",0)</f>
        <v>0</v>
      </c>
      <c r="CA1" t="e">
        <f>AND(シート1!A8,"AAAAAA8H704=")</f>
        <v>#VALUE!</v>
      </c>
      <c r="CB1" t="e">
        <f>AND(シート1!B8,"AAAAAA8H708=")</f>
        <v>#VALUE!</v>
      </c>
      <c r="CC1" t="e">
        <f>AND(シート1!C8,"AAAAAA8H71A=")</f>
        <v>#VALUE!</v>
      </c>
      <c r="CD1" t="e">
        <f>AND(シート1!D8,"AAAAAA8H71E=")</f>
        <v>#VALUE!</v>
      </c>
      <c r="CE1" t="e">
        <f>AND(シート1!E8,"AAAAAA8H71I=")</f>
        <v>#VALUE!</v>
      </c>
      <c r="CF1" t="e">
        <f>AND(シート1!F8,"AAAAAA8H71M=")</f>
        <v>#VALUE!</v>
      </c>
      <c r="CG1" t="e">
        <f>AND(シート1!G8,"AAAAAA8H71Q=")</f>
        <v>#VALUE!</v>
      </c>
      <c r="CH1" t="e">
        <f>AND(シート1!H8,"AAAAAA8H71U=")</f>
        <v>#VALUE!</v>
      </c>
      <c r="CI1" t="e">
        <f>AND(シート1!I8,"AAAAAA8H71Y=")</f>
        <v>#VALUE!</v>
      </c>
      <c r="CJ1" t="e">
        <f>AND(シート1!J8,"AAAAAA8H71c=")</f>
        <v>#VALUE!</v>
      </c>
      <c r="CK1">
        <f>IF(シート1!9:9,"AAAAAA8H71g=",0)</f>
        <v>0</v>
      </c>
      <c r="CL1" t="e">
        <f>AND(シート1!A9,"AAAAAA8H71k=")</f>
        <v>#VALUE!</v>
      </c>
      <c r="CM1" t="e">
        <f>AND(シート1!B9,"AAAAAA8H71o=")</f>
        <v>#VALUE!</v>
      </c>
      <c r="CN1" t="e">
        <f>AND(シート1!C9,"AAAAAA8H71s=")</f>
        <v>#VALUE!</v>
      </c>
      <c r="CO1" t="e">
        <f>AND(シート1!D9,"AAAAAA8H71w=")</f>
        <v>#VALUE!</v>
      </c>
      <c r="CP1" t="e">
        <f>AND(シート1!E9,"AAAAAA8H710=")</f>
        <v>#VALUE!</v>
      </c>
      <c r="CQ1" t="e">
        <f>AND(シート1!F9,"AAAAAA8H714=")</f>
        <v>#VALUE!</v>
      </c>
      <c r="CR1" t="e">
        <f>AND(シート1!G9,"AAAAAA8H718=")</f>
        <v>#VALUE!</v>
      </c>
      <c r="CS1" t="e">
        <f>AND(シート1!H9,"AAAAAA8H72A=")</f>
        <v>#VALUE!</v>
      </c>
      <c r="CT1" t="e">
        <f>AND(シート1!I9,"AAAAAA8H72E=")</f>
        <v>#VALUE!</v>
      </c>
      <c r="CU1" t="e">
        <f>AND(シート1!J9,"AAAAAA8H72I=")</f>
        <v>#VALUE!</v>
      </c>
      <c r="CV1">
        <f>IF(シート1!10:10,"AAAAAA8H72M=",0)</f>
        <v>0</v>
      </c>
      <c r="CW1" t="e">
        <f>AND(シート1!A10,"AAAAAA8H72Q=")</f>
        <v>#VALUE!</v>
      </c>
      <c r="CX1" t="e">
        <f>AND(シート1!B10,"AAAAAA8H72U=")</f>
        <v>#VALUE!</v>
      </c>
      <c r="CY1" t="e">
        <f>AND(シート1!C10,"AAAAAA8H72Y=")</f>
        <v>#VALUE!</v>
      </c>
      <c r="CZ1" t="e">
        <f>AND(シート1!D10,"AAAAAA8H72c=")</f>
        <v>#VALUE!</v>
      </c>
      <c r="DA1" t="e">
        <f>AND(シート1!E10,"AAAAAA8H72g=")</f>
        <v>#VALUE!</v>
      </c>
      <c r="DB1" t="e">
        <f>AND(シート1!F10,"AAAAAA8H72k=")</f>
        <v>#VALUE!</v>
      </c>
      <c r="DC1" t="e">
        <f>AND(シート1!G10,"AAAAAA8H72o=")</f>
        <v>#VALUE!</v>
      </c>
      <c r="DD1" t="e">
        <f>AND(シート1!H10,"AAAAAA8H72s=")</f>
        <v>#VALUE!</v>
      </c>
      <c r="DE1" t="e">
        <f>AND(シート1!I10,"AAAAAA8H72w=")</f>
        <v>#VALUE!</v>
      </c>
      <c r="DF1" t="e">
        <f>AND(シート1!J10,"AAAAAA8H720=")</f>
        <v>#VALUE!</v>
      </c>
      <c r="DG1">
        <f>IF(シート1!11:11,"AAAAAA8H724=",0)</f>
        <v>0</v>
      </c>
      <c r="DH1" t="e">
        <f>AND(シート1!A11,"AAAAAA8H728=")</f>
        <v>#VALUE!</v>
      </c>
      <c r="DI1" t="e">
        <f>AND(シート1!B11,"AAAAAA8H73A=")</f>
        <v>#VALUE!</v>
      </c>
      <c r="DJ1" t="e">
        <f>AND(シート1!C11,"AAAAAA8H73E=")</f>
        <v>#VALUE!</v>
      </c>
      <c r="DK1" t="e">
        <f>AND(シート1!D11,"AAAAAA8H73I=")</f>
        <v>#VALUE!</v>
      </c>
      <c r="DL1" t="e">
        <f>AND(シート1!E11,"AAAAAA8H73M=")</f>
        <v>#VALUE!</v>
      </c>
      <c r="DM1" t="e">
        <f>AND(シート1!F11,"AAAAAA8H73Q=")</f>
        <v>#VALUE!</v>
      </c>
      <c r="DN1" t="e">
        <f>AND(シート1!G11,"AAAAAA8H73U=")</f>
        <v>#VALUE!</v>
      </c>
      <c r="DO1" t="e">
        <f>AND(シート1!H11,"AAAAAA8H73Y=")</f>
        <v>#VALUE!</v>
      </c>
      <c r="DP1" t="e">
        <f>AND(シート1!I11,"AAAAAA8H73c=")</f>
        <v>#VALUE!</v>
      </c>
      <c r="DQ1" t="e">
        <f>AND(シート1!J11,"AAAAAA8H73g=")</f>
        <v>#VALUE!</v>
      </c>
      <c r="DR1">
        <f>IF(シート1!12:12,"AAAAAA8H73k=",0)</f>
        <v>0</v>
      </c>
      <c r="DS1" t="e">
        <f>AND(シート1!A12,"AAAAAA8H73o=")</f>
        <v>#VALUE!</v>
      </c>
      <c r="DT1" t="e">
        <f>AND(シート1!B12,"AAAAAA8H73s=")</f>
        <v>#VALUE!</v>
      </c>
      <c r="DU1" t="e">
        <f>AND(シート1!C12,"AAAAAA8H73w=")</f>
        <v>#VALUE!</v>
      </c>
      <c r="DV1" t="e">
        <f>AND(シート1!D12,"AAAAAA8H730=")</f>
        <v>#VALUE!</v>
      </c>
      <c r="DW1" t="e">
        <f>AND(シート1!E12,"AAAAAA8H734=")</f>
        <v>#VALUE!</v>
      </c>
      <c r="DX1" t="e">
        <f>AND(シート1!F12,"AAAAAA8H738=")</f>
        <v>#VALUE!</v>
      </c>
      <c r="DY1" t="e">
        <f>AND(シート1!G12,"AAAAAA8H74A=")</f>
        <v>#VALUE!</v>
      </c>
      <c r="DZ1" t="e">
        <f>AND(シート1!H12,"AAAAAA8H74E=")</f>
        <v>#VALUE!</v>
      </c>
      <c r="EA1" t="e">
        <f>AND(シート1!I12,"AAAAAA8H74I=")</f>
        <v>#VALUE!</v>
      </c>
      <c r="EB1" t="e">
        <f>AND(シート1!J12,"AAAAAA8H74M=")</f>
        <v>#VALUE!</v>
      </c>
      <c r="EC1">
        <f>IF(シート1!13:13,"AAAAAA8H74Q=",0)</f>
        <v>0</v>
      </c>
      <c r="ED1" t="e">
        <f>AND(シート1!A13,"AAAAAA8H74U=")</f>
        <v>#VALUE!</v>
      </c>
      <c r="EE1" t="e">
        <f>AND(シート1!B13,"AAAAAA8H74Y=")</f>
        <v>#VALUE!</v>
      </c>
      <c r="EF1" t="e">
        <f>AND(シート1!C13,"AAAAAA8H74c=")</f>
        <v>#VALUE!</v>
      </c>
      <c r="EG1" t="e">
        <f>AND(シート1!D13,"AAAAAA8H74g=")</f>
        <v>#VALUE!</v>
      </c>
      <c r="EH1" t="e">
        <f>AND(シート1!E13,"AAAAAA8H74k=")</f>
        <v>#VALUE!</v>
      </c>
      <c r="EI1" t="e">
        <f>AND(シート1!F13,"AAAAAA8H74o=")</f>
        <v>#VALUE!</v>
      </c>
      <c r="EJ1" t="e">
        <f>AND(シート1!G13,"AAAAAA8H74s=")</f>
        <v>#VALUE!</v>
      </c>
      <c r="EK1" t="e">
        <f>AND(シート1!H13,"AAAAAA8H74w=")</f>
        <v>#VALUE!</v>
      </c>
      <c r="EL1" t="e">
        <f>AND(シート1!I13,"AAAAAA8H740=")</f>
        <v>#VALUE!</v>
      </c>
      <c r="EM1" t="e">
        <f>AND(シート1!J13,"AAAAAA8H744=")</f>
        <v>#VALUE!</v>
      </c>
      <c r="EN1">
        <f>IF(シート1!14:14,"AAAAAA8H748=",0)</f>
        <v>0</v>
      </c>
      <c r="EO1" t="e">
        <f>AND(シート1!A14,"AAAAAA8H75A=")</f>
        <v>#VALUE!</v>
      </c>
      <c r="EP1" t="e">
        <f>AND(シート1!B14,"AAAAAA8H75E=")</f>
        <v>#VALUE!</v>
      </c>
      <c r="EQ1" t="e">
        <f>AND(シート1!C14,"AAAAAA8H75I=")</f>
        <v>#VALUE!</v>
      </c>
      <c r="ER1" t="e">
        <f>AND(シート1!D14,"AAAAAA8H75M=")</f>
        <v>#VALUE!</v>
      </c>
      <c r="ES1" t="e">
        <f>AND(シート1!E14,"AAAAAA8H75Q=")</f>
        <v>#VALUE!</v>
      </c>
      <c r="ET1" t="e">
        <f>AND(シート1!F14,"AAAAAA8H75U=")</f>
        <v>#VALUE!</v>
      </c>
      <c r="EU1" t="e">
        <f>AND(シート1!G14,"AAAAAA8H75Y=")</f>
        <v>#VALUE!</v>
      </c>
      <c r="EV1" t="e">
        <f>AND(シート1!H14,"AAAAAA8H75c=")</f>
        <v>#VALUE!</v>
      </c>
      <c r="EW1" t="e">
        <f>AND(シート1!I14,"AAAAAA8H75g=")</f>
        <v>#VALUE!</v>
      </c>
      <c r="EX1" t="e">
        <f>AND(シート1!J14,"AAAAAA8H75k=")</f>
        <v>#VALUE!</v>
      </c>
      <c r="EY1">
        <f>IF(シート1!15:15,"AAAAAA8H75o=",0)</f>
        <v>0</v>
      </c>
      <c r="EZ1" t="e">
        <f>AND(シート1!A15,"AAAAAA8H75s=")</f>
        <v>#VALUE!</v>
      </c>
      <c r="FA1" t="e">
        <f>AND(シート1!B15,"AAAAAA8H75w=")</f>
        <v>#VALUE!</v>
      </c>
      <c r="FB1" t="e">
        <f>AND(シート1!C15,"AAAAAA8H750=")</f>
        <v>#VALUE!</v>
      </c>
      <c r="FC1" t="e">
        <f>AND(シート1!D15,"AAAAAA8H754=")</f>
        <v>#VALUE!</v>
      </c>
      <c r="FD1" t="e">
        <f>AND(シート1!E15,"AAAAAA8H758=")</f>
        <v>#VALUE!</v>
      </c>
      <c r="FE1" t="e">
        <f>AND(シート1!F15,"AAAAAA8H76A=")</f>
        <v>#VALUE!</v>
      </c>
      <c r="FF1" t="e">
        <f>AND(シート1!G15,"AAAAAA8H76E=")</f>
        <v>#VALUE!</v>
      </c>
      <c r="FG1" t="e">
        <f>AND(シート1!H15,"AAAAAA8H76I=")</f>
        <v>#VALUE!</v>
      </c>
      <c r="FH1" t="e">
        <f>AND(シート1!I15,"AAAAAA8H76M=")</f>
        <v>#VALUE!</v>
      </c>
      <c r="FI1" t="e">
        <f>AND(シート1!J15,"AAAAAA8H76Q=")</f>
        <v>#VALUE!</v>
      </c>
      <c r="FJ1">
        <f>IF(シート1!16:16,"AAAAAA8H76U=",0)</f>
        <v>0</v>
      </c>
      <c r="FK1" t="e">
        <f>AND(シート1!A16,"AAAAAA8H76Y=")</f>
        <v>#VALUE!</v>
      </c>
      <c r="FL1" t="e">
        <f>AND(シート1!B16,"AAAAAA8H76c=")</f>
        <v>#VALUE!</v>
      </c>
      <c r="FM1" t="e">
        <f>AND(シート1!C16,"AAAAAA8H76g=")</f>
        <v>#VALUE!</v>
      </c>
      <c r="FN1" t="e">
        <f>AND(シート1!D16,"AAAAAA8H76k=")</f>
        <v>#VALUE!</v>
      </c>
      <c r="FO1" t="e">
        <f>AND(シート1!E16,"AAAAAA8H76o=")</f>
        <v>#VALUE!</v>
      </c>
      <c r="FP1" t="e">
        <f>AND(シート1!F16,"AAAAAA8H76s=")</f>
        <v>#VALUE!</v>
      </c>
      <c r="FQ1" t="e">
        <f>AND(シート1!G16,"AAAAAA8H76w=")</f>
        <v>#VALUE!</v>
      </c>
      <c r="FR1" t="e">
        <f>AND(シート1!H16,"AAAAAA8H760=")</f>
        <v>#VALUE!</v>
      </c>
      <c r="FS1" t="e">
        <f>AND(シート1!I16,"AAAAAA8H764=")</f>
        <v>#VALUE!</v>
      </c>
      <c r="FT1" t="e">
        <f>AND(シート1!J16,"AAAAAA8H768=")</f>
        <v>#VALUE!</v>
      </c>
      <c r="FU1">
        <f>IF(シート1!17:17,"AAAAAA8H77A=",0)</f>
        <v>0</v>
      </c>
      <c r="FV1" t="e">
        <f>AND(シート1!A17,"AAAAAA8H77E=")</f>
        <v>#VALUE!</v>
      </c>
      <c r="FW1" t="e">
        <f>AND(シート1!B17,"AAAAAA8H77I=")</f>
        <v>#VALUE!</v>
      </c>
      <c r="FX1" t="e">
        <f>AND(シート1!C17,"AAAAAA8H77M=")</f>
        <v>#VALUE!</v>
      </c>
      <c r="FY1" t="e">
        <f>AND(シート1!D17,"AAAAAA8H77Q=")</f>
        <v>#VALUE!</v>
      </c>
      <c r="FZ1" t="e">
        <f>AND(シート1!E17,"AAAAAA8H77U=")</f>
        <v>#VALUE!</v>
      </c>
      <c r="GA1" t="e">
        <f>AND(シート1!F17,"AAAAAA8H77Y=")</f>
        <v>#VALUE!</v>
      </c>
      <c r="GB1" t="e">
        <f>AND(シート1!G17,"AAAAAA8H77c=")</f>
        <v>#VALUE!</v>
      </c>
      <c r="GC1" t="e">
        <f>AND(シート1!H17,"AAAAAA8H77g=")</f>
        <v>#VALUE!</v>
      </c>
      <c r="GD1" t="e">
        <f>AND(シート1!I17,"AAAAAA8H77k=")</f>
        <v>#VALUE!</v>
      </c>
      <c r="GE1" t="e">
        <f>AND(シート1!J17,"AAAAAA8H77o=")</f>
        <v>#VALUE!</v>
      </c>
      <c r="GF1">
        <f>IF(シート1!18:18,"AAAAAA8H77s=",0)</f>
        <v>0</v>
      </c>
      <c r="GG1" t="e">
        <f>AND(シート1!A18,"AAAAAA8H77w=")</f>
        <v>#VALUE!</v>
      </c>
      <c r="GH1" t="e">
        <f>AND(シート1!B18,"AAAAAA8H770=")</f>
        <v>#VALUE!</v>
      </c>
      <c r="GI1" t="e">
        <f>AND(シート1!C18,"AAAAAA8H774=")</f>
        <v>#VALUE!</v>
      </c>
      <c r="GJ1" t="e">
        <f>AND(シート1!D18,"AAAAAA8H778=")</f>
        <v>#VALUE!</v>
      </c>
      <c r="GK1" t="e">
        <f>AND(シート1!E18,"AAAAAA8H78A=")</f>
        <v>#VALUE!</v>
      </c>
      <c r="GL1" t="e">
        <f>AND(シート1!F18,"AAAAAA8H78E=")</f>
        <v>#VALUE!</v>
      </c>
      <c r="GM1" t="e">
        <f>AND(シート1!G18,"AAAAAA8H78I=")</f>
        <v>#VALUE!</v>
      </c>
      <c r="GN1" t="e">
        <f>AND(シート1!H18,"AAAAAA8H78M=")</f>
        <v>#VALUE!</v>
      </c>
      <c r="GO1" t="e">
        <f>AND(シート1!I18,"AAAAAA8H78Q=")</f>
        <v>#VALUE!</v>
      </c>
      <c r="GP1" t="e">
        <f>AND(シート1!J18,"AAAAAA8H78U=")</f>
        <v>#VALUE!</v>
      </c>
      <c r="GQ1">
        <f>IF(シート1!19:19,"AAAAAA8H78Y=",0)</f>
        <v>0</v>
      </c>
      <c r="GR1" t="e">
        <f>AND(シート1!A19,"AAAAAA8H78c=")</f>
        <v>#VALUE!</v>
      </c>
      <c r="GS1" t="e">
        <f>AND(シート1!B19,"AAAAAA8H78g=")</f>
        <v>#VALUE!</v>
      </c>
      <c r="GT1" t="e">
        <f>AND(シート1!C19,"AAAAAA8H78k=")</f>
        <v>#VALUE!</v>
      </c>
      <c r="GU1" t="e">
        <f>AND(シート1!D19,"AAAAAA8H78o=")</f>
        <v>#VALUE!</v>
      </c>
      <c r="GV1" t="e">
        <f>AND(シート1!E19,"AAAAAA8H78s=")</f>
        <v>#VALUE!</v>
      </c>
      <c r="GW1" t="e">
        <f>AND(シート1!F19,"AAAAAA8H78w=")</f>
        <v>#VALUE!</v>
      </c>
      <c r="GX1" t="e">
        <f>AND(シート1!G19,"AAAAAA8H780=")</f>
        <v>#VALUE!</v>
      </c>
      <c r="GY1" t="e">
        <f>AND(シート1!H19,"AAAAAA8H784=")</f>
        <v>#VALUE!</v>
      </c>
      <c r="GZ1" t="e">
        <f>AND(シート1!I19,"AAAAAA8H788=")</f>
        <v>#VALUE!</v>
      </c>
      <c r="HA1" t="e">
        <f>AND(シート1!J19,"AAAAAA8H79A=")</f>
        <v>#VALUE!</v>
      </c>
      <c r="HB1">
        <f>IF(シート1!20:20,"AAAAAA8H79E=",0)</f>
        <v>0</v>
      </c>
      <c r="HC1" t="e">
        <f>AND(シート1!A20,"AAAAAA8H79I=")</f>
        <v>#VALUE!</v>
      </c>
      <c r="HD1" t="e">
        <f>AND(シート1!B20,"AAAAAA8H79M=")</f>
        <v>#VALUE!</v>
      </c>
      <c r="HE1" t="e">
        <f>AND(シート1!C20,"AAAAAA8H79Q=")</f>
        <v>#VALUE!</v>
      </c>
      <c r="HF1" t="e">
        <f>AND(シート1!D20,"AAAAAA8H79U=")</f>
        <v>#VALUE!</v>
      </c>
      <c r="HG1" t="e">
        <f>AND(シート1!E20,"AAAAAA8H79Y=")</f>
        <v>#VALUE!</v>
      </c>
      <c r="HH1" t="e">
        <f>AND(シート1!F20,"AAAAAA8H79c=")</f>
        <v>#VALUE!</v>
      </c>
      <c r="HI1" t="e">
        <f>AND(シート1!G20,"AAAAAA8H79g=")</f>
        <v>#VALUE!</v>
      </c>
      <c r="HJ1" t="e">
        <f>AND(シート1!H20,"AAAAAA8H79k=")</f>
        <v>#VALUE!</v>
      </c>
      <c r="HK1" t="e">
        <f>AND(シート1!I20,"AAAAAA8H79o=")</f>
        <v>#VALUE!</v>
      </c>
      <c r="HL1" t="e">
        <f>AND(シート1!J20,"AAAAAA8H79s=")</f>
        <v>#VALUE!</v>
      </c>
      <c r="HM1">
        <f>IF(シート1!21:21,"AAAAAA8H79w=",0)</f>
        <v>0</v>
      </c>
      <c r="HN1" t="e">
        <f>AND(シート1!A21,"AAAAAA8H790=")</f>
        <v>#VALUE!</v>
      </c>
      <c r="HO1" t="e">
        <f>AND(シート1!B21,"AAAAAA8H794=")</f>
        <v>#VALUE!</v>
      </c>
      <c r="HP1" t="e">
        <f>AND(シート1!C21,"AAAAAA8H798=")</f>
        <v>#VALUE!</v>
      </c>
      <c r="HQ1" t="e">
        <f>AND(シート1!D21,"AAAAAA8H7+A=")</f>
        <v>#VALUE!</v>
      </c>
      <c r="HR1" t="e">
        <f>AND(シート1!E21,"AAAAAA8H7+E=")</f>
        <v>#VALUE!</v>
      </c>
      <c r="HS1" t="e">
        <f>AND(シート1!F21,"AAAAAA8H7+I=")</f>
        <v>#VALUE!</v>
      </c>
      <c r="HT1" t="e">
        <f>AND(シート1!G21,"AAAAAA8H7+M=")</f>
        <v>#VALUE!</v>
      </c>
      <c r="HU1" t="e">
        <f>AND(シート1!H21,"AAAAAA8H7+Q=")</f>
        <v>#VALUE!</v>
      </c>
      <c r="HV1" t="e">
        <f>AND(シート1!I21,"AAAAAA8H7+U=")</f>
        <v>#VALUE!</v>
      </c>
      <c r="HW1" t="e">
        <f>AND(シート1!J21,"AAAAAA8H7+Y=")</f>
        <v>#VALUE!</v>
      </c>
      <c r="HX1">
        <f>IF(シート1!22:22,"AAAAAA8H7+c=",0)</f>
        <v>0</v>
      </c>
      <c r="HY1" t="e">
        <f>AND(シート1!A22,"AAAAAA8H7+g=")</f>
        <v>#VALUE!</v>
      </c>
      <c r="HZ1" t="e">
        <f>AND(シート1!B22,"AAAAAA8H7+k=")</f>
        <v>#VALUE!</v>
      </c>
      <c r="IA1" t="e">
        <f>AND(シート1!C22,"AAAAAA8H7+o=")</f>
        <v>#VALUE!</v>
      </c>
      <c r="IB1" t="e">
        <f>AND(シート1!D22,"AAAAAA8H7+s=")</f>
        <v>#VALUE!</v>
      </c>
      <c r="IC1" t="e">
        <f>AND(シート1!E22,"AAAAAA8H7+w=")</f>
        <v>#VALUE!</v>
      </c>
      <c r="ID1" t="e">
        <f>AND(シート1!F22,"AAAAAA8H7+0=")</f>
        <v>#VALUE!</v>
      </c>
      <c r="IE1" t="e">
        <f>AND(シート1!G22,"AAAAAA8H7+4=")</f>
        <v>#VALUE!</v>
      </c>
      <c r="IF1" t="e">
        <f>AND(シート1!H22,"AAAAAA8H7+8=")</f>
        <v>#VALUE!</v>
      </c>
      <c r="IG1" t="e">
        <f>AND(シート1!I22,"AAAAAA8H7/A=")</f>
        <v>#VALUE!</v>
      </c>
      <c r="IH1" t="e">
        <f>AND(シート1!J22,"AAAAAA8H7/E=")</f>
        <v>#VALUE!</v>
      </c>
      <c r="II1">
        <f>IF(シート1!23:23,"AAAAAA8H7/I=",0)</f>
        <v>0</v>
      </c>
      <c r="IJ1" t="e">
        <f>AND(シート1!A23,"AAAAAA8H7/M=")</f>
        <v>#VALUE!</v>
      </c>
      <c r="IK1" t="e">
        <f>AND(シート1!B23,"AAAAAA8H7/Q=")</f>
        <v>#VALUE!</v>
      </c>
      <c r="IL1" t="e">
        <f>AND(シート1!C23,"AAAAAA8H7/U=")</f>
        <v>#VALUE!</v>
      </c>
      <c r="IM1" t="e">
        <f>AND(シート1!D23,"AAAAAA8H7/Y=")</f>
        <v>#VALUE!</v>
      </c>
      <c r="IN1" t="e">
        <f>AND(シート1!E23,"AAAAAA8H7/c=")</f>
        <v>#VALUE!</v>
      </c>
      <c r="IO1" t="e">
        <f>AND(シート1!F23,"AAAAAA8H7/g=")</f>
        <v>#VALUE!</v>
      </c>
      <c r="IP1" t="e">
        <f>AND(シート1!G23,"AAAAAA8H7/k=")</f>
        <v>#VALUE!</v>
      </c>
      <c r="IQ1" t="e">
        <f>AND(シート1!H23,"AAAAAA8H7/o=")</f>
        <v>#VALUE!</v>
      </c>
      <c r="IR1" t="e">
        <f>AND(シート1!I23,"AAAAAA8H7/s=")</f>
        <v>#VALUE!</v>
      </c>
      <c r="IS1" t="e">
        <f>AND(シート1!J23,"AAAAAA8H7/w=")</f>
        <v>#VALUE!</v>
      </c>
      <c r="IT1">
        <f>IF(シート1!24:24,"AAAAAA8H7/0=",0)</f>
        <v>0</v>
      </c>
      <c r="IU1" t="e">
        <f>AND(シート1!A24,"AAAAAA8H7/4=")</f>
        <v>#VALUE!</v>
      </c>
      <c r="IV1" t="e">
        <f>AND(シート1!B24,"AAAAAA8H7/8=")</f>
        <v>#VALUE!</v>
      </c>
    </row>
    <row r="2" spans="1:256">
      <c r="A2" t="e">
        <f>AND(シート1!C24,"AAAAAH/+SwA=")</f>
        <v>#VALUE!</v>
      </c>
      <c r="B2" t="e">
        <f>AND(シート1!D24,"AAAAAH/+SwE=")</f>
        <v>#VALUE!</v>
      </c>
      <c r="C2" t="e">
        <f>AND(シート1!E24,"AAAAAH/+SwI=")</f>
        <v>#VALUE!</v>
      </c>
      <c r="D2" t="e">
        <f>AND(シート1!F24,"AAAAAH/+SwM=")</f>
        <v>#VALUE!</v>
      </c>
      <c r="E2" t="e">
        <f>AND(シート1!G24,"AAAAAH/+SwQ=")</f>
        <v>#VALUE!</v>
      </c>
      <c r="F2" t="e">
        <f>AND(シート1!H24,"AAAAAH/+SwU=")</f>
        <v>#VALUE!</v>
      </c>
      <c r="G2" t="e">
        <f>AND(シート1!I24,"AAAAAH/+SwY=")</f>
        <v>#VALUE!</v>
      </c>
      <c r="H2" t="e">
        <f>AND(シート1!J24,"AAAAAH/+Swc=")</f>
        <v>#VALUE!</v>
      </c>
      <c r="I2" t="e">
        <f>IF(シート1!25:25,"AAAAAH/+Swg=",0)</f>
        <v>#VALUE!</v>
      </c>
      <c r="J2" t="e">
        <f>AND(シート1!A25,"AAAAAH/+Swk=")</f>
        <v>#VALUE!</v>
      </c>
      <c r="K2" t="e">
        <f>AND(シート1!B25,"AAAAAH/+Swo=")</f>
        <v>#VALUE!</v>
      </c>
      <c r="L2" t="e">
        <f>AND(シート1!C25,"AAAAAH/+Sws=")</f>
        <v>#VALUE!</v>
      </c>
      <c r="M2" t="e">
        <f>AND(シート1!D25,"AAAAAH/+Sww=")</f>
        <v>#VALUE!</v>
      </c>
      <c r="N2" t="e">
        <f>AND(シート1!E25,"AAAAAH/+Sw0=")</f>
        <v>#VALUE!</v>
      </c>
      <c r="O2" t="e">
        <f>AND(シート1!F25,"AAAAAH/+Sw4=")</f>
        <v>#VALUE!</v>
      </c>
      <c r="P2" t="e">
        <f>AND(シート1!G25,"AAAAAH/+Sw8=")</f>
        <v>#VALUE!</v>
      </c>
      <c r="Q2" t="e">
        <f>AND(シート1!H25,"AAAAAH/+SxA=")</f>
        <v>#VALUE!</v>
      </c>
      <c r="R2" t="e">
        <f>AND(シート1!I25,"AAAAAH/+SxE=")</f>
        <v>#VALUE!</v>
      </c>
      <c r="S2" t="e">
        <f>AND(シート1!J25,"AAAAAH/+SxI=")</f>
        <v>#VALUE!</v>
      </c>
      <c r="T2">
        <f>IF(シート1!26:26,"AAAAAH/+SxM=",0)</f>
        <v>0</v>
      </c>
      <c r="U2" t="e">
        <f>AND(シート1!A26,"AAAAAH/+SxQ=")</f>
        <v>#VALUE!</v>
      </c>
      <c r="V2" t="e">
        <f>AND(シート1!B26,"AAAAAH/+SxU=")</f>
        <v>#VALUE!</v>
      </c>
      <c r="W2" t="e">
        <f>AND(シート1!C26,"AAAAAH/+SxY=")</f>
        <v>#VALUE!</v>
      </c>
      <c r="X2" t="e">
        <f>AND(シート1!D26,"AAAAAH/+Sxc=")</f>
        <v>#VALUE!</v>
      </c>
      <c r="Y2" t="e">
        <f>AND(シート1!E26,"AAAAAH/+Sxg=")</f>
        <v>#VALUE!</v>
      </c>
      <c r="Z2" t="e">
        <f>AND(シート1!F26,"AAAAAH/+Sxk=")</f>
        <v>#VALUE!</v>
      </c>
      <c r="AA2" t="e">
        <f>AND(シート1!G26,"AAAAAH/+Sxo=")</f>
        <v>#VALUE!</v>
      </c>
      <c r="AB2" t="e">
        <f>AND(シート1!H26,"AAAAAH/+Sxs=")</f>
        <v>#VALUE!</v>
      </c>
      <c r="AC2" t="e">
        <f>AND(シート1!I26,"AAAAAH/+Sxw=")</f>
        <v>#VALUE!</v>
      </c>
      <c r="AD2" t="e">
        <f>AND(シート1!J26,"AAAAAH/+Sx0=")</f>
        <v>#VALUE!</v>
      </c>
      <c r="AE2">
        <f>IF(シート1!27:27,"AAAAAH/+Sx4=",0)</f>
        <v>0</v>
      </c>
      <c r="AF2" t="e">
        <f>AND(シート1!A27,"AAAAAH/+Sx8=")</f>
        <v>#VALUE!</v>
      </c>
      <c r="AG2" t="e">
        <f>AND(シート1!B27,"AAAAAH/+SyA=")</f>
        <v>#VALUE!</v>
      </c>
      <c r="AH2" t="e">
        <f>AND(シート1!C27,"AAAAAH/+SyE=")</f>
        <v>#VALUE!</v>
      </c>
      <c r="AI2" t="e">
        <f>AND(シート1!D27,"AAAAAH/+SyI=")</f>
        <v>#VALUE!</v>
      </c>
      <c r="AJ2" t="e">
        <f>AND(シート1!E27,"AAAAAH/+SyM=")</f>
        <v>#VALUE!</v>
      </c>
      <c r="AK2" t="e">
        <f>AND(シート1!F27,"AAAAAH/+SyQ=")</f>
        <v>#VALUE!</v>
      </c>
      <c r="AL2" t="e">
        <f>AND(シート1!G27,"AAAAAH/+SyU=")</f>
        <v>#VALUE!</v>
      </c>
      <c r="AM2" t="e">
        <f>AND(シート1!H27,"AAAAAH/+SyY=")</f>
        <v>#VALUE!</v>
      </c>
      <c r="AN2" t="e">
        <f>AND(シート1!I27,"AAAAAH/+Syc=")</f>
        <v>#VALUE!</v>
      </c>
      <c r="AO2" t="e">
        <f>AND(シート1!J27,"AAAAAH/+Syg=")</f>
        <v>#VALUE!</v>
      </c>
      <c r="AP2">
        <f>IF(シート1!28:28,"AAAAAH/+Syk=",0)</f>
        <v>0</v>
      </c>
      <c r="AQ2" t="e">
        <f>AND(シート1!A28,"AAAAAH/+Syo=")</f>
        <v>#VALUE!</v>
      </c>
      <c r="AR2" t="e">
        <f>AND(シート1!B28,"AAAAAH/+Sys=")</f>
        <v>#VALUE!</v>
      </c>
      <c r="AS2" t="e">
        <f>AND(シート1!C28,"AAAAAH/+Syw=")</f>
        <v>#VALUE!</v>
      </c>
      <c r="AT2" t="e">
        <f>AND(シート1!D28,"AAAAAH/+Sy0=")</f>
        <v>#VALUE!</v>
      </c>
      <c r="AU2" t="e">
        <f>AND(シート1!E28,"AAAAAH/+Sy4=")</f>
        <v>#VALUE!</v>
      </c>
      <c r="AV2" t="e">
        <f>AND(シート1!F28,"AAAAAH/+Sy8=")</f>
        <v>#VALUE!</v>
      </c>
      <c r="AW2" t="e">
        <f>AND(シート1!G28,"AAAAAH/+SzA=")</f>
        <v>#VALUE!</v>
      </c>
      <c r="AX2" t="e">
        <f>AND(シート1!H28,"AAAAAH/+SzE=")</f>
        <v>#VALUE!</v>
      </c>
      <c r="AY2" t="e">
        <f>AND(シート1!I28,"AAAAAH/+SzI=")</f>
        <v>#VALUE!</v>
      </c>
      <c r="AZ2" t="e">
        <f>AND(シート1!J28,"AAAAAH/+SzM=")</f>
        <v>#VALUE!</v>
      </c>
      <c r="BA2">
        <f>IF(シート1!29:29,"AAAAAH/+SzQ=",0)</f>
        <v>0</v>
      </c>
      <c r="BB2" t="e">
        <f>AND(シート1!A29,"AAAAAH/+SzU=")</f>
        <v>#VALUE!</v>
      </c>
      <c r="BC2" t="e">
        <f>AND(シート1!B29,"AAAAAH/+SzY=")</f>
        <v>#VALUE!</v>
      </c>
      <c r="BD2" t="e">
        <f>AND(シート1!C29,"AAAAAH/+Szc=")</f>
        <v>#VALUE!</v>
      </c>
      <c r="BE2" t="e">
        <f>AND(シート1!D29,"AAAAAH/+Szg=")</f>
        <v>#VALUE!</v>
      </c>
      <c r="BF2" t="e">
        <f>AND(シート1!E29,"AAAAAH/+Szk=")</f>
        <v>#VALUE!</v>
      </c>
      <c r="BG2" t="e">
        <f>AND(シート1!F29,"AAAAAH/+Szo=")</f>
        <v>#VALUE!</v>
      </c>
      <c r="BH2" t="e">
        <f>AND(シート1!G29,"AAAAAH/+Szs=")</f>
        <v>#VALUE!</v>
      </c>
      <c r="BI2" t="e">
        <f>AND(シート1!H29,"AAAAAH/+Szw=")</f>
        <v>#VALUE!</v>
      </c>
      <c r="BJ2" t="e">
        <f>AND(シート1!I29,"AAAAAH/+Sz0=")</f>
        <v>#VALUE!</v>
      </c>
      <c r="BK2" t="e">
        <f>AND(シート1!J29,"AAAAAH/+Sz4=")</f>
        <v>#VALUE!</v>
      </c>
      <c r="BL2">
        <f>IF(シート1!30:30,"AAAAAH/+Sz8=",0)</f>
        <v>0</v>
      </c>
      <c r="BM2" t="e">
        <f>AND(シート1!A30,"AAAAAH/+S0A=")</f>
        <v>#VALUE!</v>
      </c>
      <c r="BN2" t="e">
        <f>AND(シート1!B30,"AAAAAH/+S0E=")</f>
        <v>#VALUE!</v>
      </c>
      <c r="BO2" t="e">
        <f>AND(シート1!C30,"AAAAAH/+S0I=")</f>
        <v>#VALUE!</v>
      </c>
      <c r="BP2" t="e">
        <f>AND(シート1!D30,"AAAAAH/+S0M=")</f>
        <v>#VALUE!</v>
      </c>
      <c r="BQ2" t="e">
        <f>AND(シート1!E30,"AAAAAH/+S0Q=")</f>
        <v>#VALUE!</v>
      </c>
      <c r="BR2" t="e">
        <f>AND(シート1!F30,"AAAAAH/+S0U=")</f>
        <v>#VALUE!</v>
      </c>
      <c r="BS2" t="e">
        <f>AND(シート1!G30,"AAAAAH/+S0Y=")</f>
        <v>#VALUE!</v>
      </c>
      <c r="BT2" t="e">
        <f>AND(シート1!H30,"AAAAAH/+S0c=")</f>
        <v>#VALUE!</v>
      </c>
      <c r="BU2" t="e">
        <f>AND(シート1!I30,"AAAAAH/+S0g=")</f>
        <v>#VALUE!</v>
      </c>
      <c r="BV2" t="e">
        <f>AND(シート1!J30,"AAAAAH/+S0k=")</f>
        <v>#VALUE!</v>
      </c>
      <c r="BW2">
        <f>IF(シート1!31:31,"AAAAAH/+S0o=",0)</f>
        <v>0</v>
      </c>
      <c r="BX2" t="e">
        <f>AND(シート1!A31,"AAAAAH/+S0s=")</f>
        <v>#VALUE!</v>
      </c>
      <c r="BY2" t="e">
        <f>AND(シート1!B31,"AAAAAH/+S0w=")</f>
        <v>#VALUE!</v>
      </c>
      <c r="BZ2" t="e">
        <f>AND(シート1!C31,"AAAAAH/+S00=")</f>
        <v>#VALUE!</v>
      </c>
      <c r="CA2" t="e">
        <f>AND(シート1!D31,"AAAAAH/+S04=")</f>
        <v>#VALUE!</v>
      </c>
      <c r="CB2" t="e">
        <f>AND(シート1!E31,"AAAAAH/+S08=")</f>
        <v>#VALUE!</v>
      </c>
      <c r="CC2" t="e">
        <f>AND(シート1!F31,"AAAAAH/+S1A=")</f>
        <v>#VALUE!</v>
      </c>
      <c r="CD2" t="e">
        <f>AND(シート1!G31,"AAAAAH/+S1E=")</f>
        <v>#VALUE!</v>
      </c>
      <c r="CE2" t="e">
        <f>AND(シート1!H31,"AAAAAH/+S1I=")</f>
        <v>#VALUE!</v>
      </c>
      <c r="CF2" t="e">
        <f>AND(シート1!I31,"AAAAAH/+S1M=")</f>
        <v>#VALUE!</v>
      </c>
      <c r="CG2" t="e">
        <f>AND(シート1!J31,"AAAAAH/+S1Q=")</f>
        <v>#VALUE!</v>
      </c>
      <c r="CH2">
        <f>IF(シート1!32:32,"AAAAAH/+S1U=",0)</f>
        <v>0</v>
      </c>
      <c r="CI2" t="e">
        <f>AND(シート1!A32,"AAAAAH/+S1Y=")</f>
        <v>#VALUE!</v>
      </c>
      <c r="CJ2" t="e">
        <f>AND(シート1!B32,"AAAAAH/+S1c=")</f>
        <v>#VALUE!</v>
      </c>
      <c r="CK2" t="e">
        <f>AND(シート1!C32,"AAAAAH/+S1g=")</f>
        <v>#VALUE!</v>
      </c>
      <c r="CL2" t="e">
        <f>AND(シート1!D32,"AAAAAH/+S1k=")</f>
        <v>#VALUE!</v>
      </c>
      <c r="CM2" t="e">
        <f>AND(シート1!E32,"AAAAAH/+S1o=")</f>
        <v>#VALUE!</v>
      </c>
      <c r="CN2" t="e">
        <f>AND(シート1!F32,"AAAAAH/+S1s=")</f>
        <v>#VALUE!</v>
      </c>
      <c r="CO2" t="e">
        <f>AND(シート1!G32,"AAAAAH/+S1w=")</f>
        <v>#VALUE!</v>
      </c>
      <c r="CP2" t="e">
        <f>AND(シート1!H32,"AAAAAH/+S10=")</f>
        <v>#VALUE!</v>
      </c>
      <c r="CQ2" t="e">
        <f>AND(シート1!I32,"AAAAAH/+S14=")</f>
        <v>#VALUE!</v>
      </c>
      <c r="CR2" t="e">
        <f>AND(シート1!J32,"AAAAAH/+S18=")</f>
        <v>#VALUE!</v>
      </c>
      <c r="CS2">
        <f>IF(シート1!33:33,"AAAAAH/+S2A=",0)</f>
        <v>0</v>
      </c>
      <c r="CT2">
        <f>IF(シート1!34:34,"AAAAAH/+S2E=",0)</f>
        <v>0</v>
      </c>
      <c r="CU2">
        <f>IF(シート1!A:A,"AAAAAH/+S2I=",0)</f>
        <v>0</v>
      </c>
      <c r="CV2" t="e">
        <f>IF(シート1!B:B,"AAAAAH/+S2M=",0)</f>
        <v>#VALUE!</v>
      </c>
      <c r="CW2">
        <f>IF(シート1!C:C,"AAAAAH/+S2Q=",0)</f>
        <v>0</v>
      </c>
      <c r="CX2">
        <f>IF(シート1!D:D,"AAAAAH/+S2U=",0)</f>
        <v>0</v>
      </c>
      <c r="CY2">
        <f>IF(シート1!E:E,"AAAAAH/+S2Y=",0)</f>
        <v>0</v>
      </c>
      <c r="CZ2">
        <f>IF(シート1!F:F,"AAAAAH/+S2c=",0)</f>
        <v>0</v>
      </c>
      <c r="DA2">
        <f>IF(シート1!G:G,"AAAAAH/+S2g=",0)</f>
        <v>0</v>
      </c>
      <c r="DB2">
        <f>IF(シート1!H:H,"AAAAAH/+S2k=",0)</f>
        <v>0</v>
      </c>
      <c r="DC2">
        <f>IF(シート1!I:I,"AAAAAH/+S2o=",0)</f>
        <v>0</v>
      </c>
      <c r="DD2">
        <f>IF(シート1!J:J,"AAAAAH/+S2s=",0)</f>
        <v>0</v>
      </c>
      <c r="DE2" t="e">
        <f>IF("N",_xludf._xlfn.IFERROR,"AAAAAH/+S2w=")</f>
        <v>#VALUE!</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徳田充宏</dc:creator>
  <cp:lastModifiedBy>徳田充宏</cp:lastModifiedBy>
  <dcterms:created xsi:type="dcterms:W3CDTF">2011-10-27T16:48:17Z</dcterms:created>
  <dcterms:modified xsi:type="dcterms:W3CDTF">2011-10-27T16:49:16Z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1l65CZznUx52w5pous6R-L2727ZR-Nuog0XxDNy0hZLU</vt:lpwstr>
  </property>
  <property fmtid="{D5CDD505-2E9C-101B-9397-08002B2CF9AE}" pid="4" name="Google.Documents.RevisionId">
    <vt:lpwstr>02585343547236653213</vt:lpwstr>
  </property>
  <property fmtid="{D5CDD505-2E9C-101B-9397-08002B2CF9AE}" pid="5" name="Google.Documents.PluginVersion">
    <vt:lpwstr>2.0.2424.7283</vt:lpwstr>
  </property>
  <property fmtid="{D5CDD505-2E9C-101B-9397-08002B2CF9AE}" pid="6" name="Google.Documents.MergeIncapabilityFlags">
    <vt:i4>0</vt:i4>
  </property>
</Properties>
</file>