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45" windowWidth="28035" windowHeight="1456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O7" i="1" l="1"/>
  <c r="N22" i="1"/>
  <c r="M22" i="1"/>
  <c r="L22" i="1"/>
  <c r="K22" i="1"/>
  <c r="J22" i="1"/>
  <c r="I22" i="1"/>
  <c r="H22" i="1"/>
  <c r="G22" i="1"/>
  <c r="F22" i="1"/>
  <c r="E22" i="1"/>
  <c r="D22" i="1"/>
  <c r="C22" i="1"/>
  <c r="N20" i="1"/>
  <c r="M20" i="1"/>
  <c r="L20" i="1"/>
  <c r="K20" i="1"/>
  <c r="J20" i="1"/>
  <c r="I20" i="1"/>
  <c r="H20" i="1"/>
  <c r="G20" i="1"/>
  <c r="F20" i="1"/>
  <c r="E20" i="1"/>
  <c r="D20" i="1"/>
  <c r="C20" i="1"/>
  <c r="N18" i="1"/>
  <c r="M18" i="1"/>
  <c r="L18" i="1"/>
  <c r="K18" i="1"/>
  <c r="J18" i="1"/>
  <c r="I18" i="1"/>
  <c r="H18" i="1"/>
  <c r="G18" i="1"/>
  <c r="F18" i="1"/>
  <c r="E18" i="1"/>
  <c r="D18" i="1"/>
  <c r="C18" i="1"/>
  <c r="H8" i="1"/>
  <c r="N8" i="1"/>
  <c r="A8" i="4"/>
  <c r="B8" i="4"/>
  <c r="C8" i="4"/>
  <c r="D8" i="4"/>
  <c r="E8" i="4"/>
  <c r="F8" i="4"/>
  <c r="G8" i="4"/>
  <c r="H8" i="4"/>
  <c r="I8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DA7" i="4"/>
  <c r="DB7" i="4"/>
  <c r="DC7" i="4"/>
  <c r="DD7" i="4"/>
  <c r="DE7" i="4"/>
  <c r="DF7" i="4"/>
  <c r="DG7" i="4"/>
  <c r="DH7" i="4"/>
  <c r="DI7" i="4"/>
  <c r="DJ7" i="4"/>
  <c r="DK7" i="4"/>
  <c r="DL7" i="4"/>
  <c r="DM7" i="4"/>
  <c r="DN7" i="4"/>
  <c r="DO7" i="4"/>
  <c r="D10" i="1"/>
  <c r="E10" i="1"/>
  <c r="F10" i="1"/>
  <c r="G10" i="1"/>
  <c r="H10" i="1"/>
  <c r="I10" i="1"/>
  <c r="J10" i="1"/>
  <c r="K10" i="1"/>
  <c r="L10" i="1"/>
  <c r="M10" i="1"/>
  <c r="N10" i="1"/>
  <c r="C10" i="1"/>
  <c r="D6" i="1"/>
  <c r="E6" i="1"/>
  <c r="F6" i="1"/>
  <c r="G6" i="1"/>
  <c r="H6" i="1"/>
  <c r="I6" i="1"/>
  <c r="J6" i="1"/>
  <c r="K6" i="1"/>
  <c r="L6" i="1"/>
  <c r="M6" i="1"/>
  <c r="N6" i="1"/>
  <c r="C6" i="1"/>
  <c r="D8" i="1"/>
  <c r="E8" i="1"/>
  <c r="F8" i="1"/>
  <c r="G8" i="1"/>
  <c r="I8" i="1"/>
  <c r="J8" i="1"/>
  <c r="K8" i="1"/>
  <c r="L8" i="1"/>
  <c r="M8" i="1"/>
  <c r="C8" i="1"/>
  <c r="A6" i="4"/>
  <c r="A5" i="4"/>
  <c r="B5" i="4"/>
  <c r="C5" i="4"/>
  <c r="D5" i="4"/>
  <c r="E5" i="4"/>
  <c r="F5" i="4"/>
  <c r="A4" i="4"/>
  <c r="A3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Z3" i="4"/>
  <c r="BA3" i="4"/>
  <c r="BB3" i="4"/>
  <c r="BC3" i="4"/>
  <c r="BD3" i="4"/>
  <c r="BE3" i="4"/>
  <c r="BF3" i="4"/>
  <c r="BG3" i="4"/>
  <c r="BH3" i="4"/>
  <c r="BI3" i="4"/>
  <c r="BJ3" i="4"/>
  <c r="A2" i="4"/>
  <c r="B2" i="4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A1" i="4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I1" i="4"/>
  <c r="AJ1" i="4"/>
  <c r="AK1" i="4"/>
  <c r="AL1" i="4"/>
  <c r="AM1" i="4"/>
  <c r="AN1" i="4"/>
  <c r="AO1" i="4"/>
  <c r="AP1" i="4"/>
  <c r="AQ1" i="4"/>
  <c r="AR1" i="4"/>
  <c r="AS1" i="4"/>
  <c r="AT1" i="4"/>
  <c r="AU1" i="4"/>
  <c r="AV1" i="4"/>
  <c r="AW1" i="4"/>
  <c r="AX1" i="4"/>
  <c r="AY1" i="4"/>
  <c r="AZ1" i="4"/>
  <c r="BA1" i="4"/>
  <c r="BB1" i="4"/>
  <c r="BC1" i="4"/>
  <c r="BD1" i="4"/>
  <c r="BE1" i="4"/>
  <c r="BF1" i="4"/>
  <c r="BG1" i="4"/>
  <c r="BH1" i="4"/>
  <c r="BI1" i="4"/>
  <c r="BJ1" i="4"/>
  <c r="BK1" i="4"/>
  <c r="BL1" i="4"/>
  <c r="BM1" i="4"/>
  <c r="BN1" i="4"/>
  <c r="BO1" i="4"/>
  <c r="BP1" i="4"/>
  <c r="BQ1" i="4"/>
  <c r="BR1" i="4"/>
  <c r="BS1" i="4"/>
  <c r="BT1" i="4"/>
  <c r="BU1" i="4"/>
  <c r="BV1" i="4"/>
  <c r="BW1" i="4"/>
  <c r="BX1" i="4"/>
  <c r="BY1" i="4"/>
  <c r="BZ1" i="4"/>
  <c r="CA1" i="4"/>
  <c r="CB1" i="4"/>
  <c r="CC1" i="4"/>
  <c r="CD1" i="4"/>
  <c r="CE1" i="4"/>
  <c r="CF1" i="4"/>
  <c r="CG1" i="4"/>
  <c r="CH1" i="4"/>
  <c r="CI1" i="4"/>
  <c r="CJ1" i="4"/>
  <c r="CK1" i="4"/>
  <c r="CL1" i="4"/>
  <c r="CM1" i="4"/>
  <c r="CN1" i="4"/>
  <c r="CO1" i="4"/>
  <c r="CP1" i="4"/>
  <c r="CQ1" i="4"/>
  <c r="CR1" i="4"/>
  <c r="CS1" i="4"/>
  <c r="CT1" i="4"/>
  <c r="CU1" i="4"/>
  <c r="CV1" i="4"/>
  <c r="CW1" i="4"/>
  <c r="CX1" i="4"/>
  <c r="CY1" i="4"/>
  <c r="CZ1" i="4"/>
  <c r="DA1" i="4"/>
  <c r="DB1" i="4"/>
  <c r="DC1" i="4"/>
  <c r="DD1" i="4"/>
  <c r="DE1" i="4"/>
  <c r="DF1" i="4"/>
  <c r="DG1" i="4"/>
  <c r="DH1" i="4"/>
  <c r="DI1" i="4"/>
  <c r="DJ1" i="4"/>
  <c r="DK1" i="4"/>
  <c r="DL1" i="4"/>
  <c r="DM1" i="4"/>
  <c r="DN1" i="4"/>
  <c r="DO1" i="4"/>
  <c r="DP1" i="4"/>
  <c r="DQ1" i="4"/>
  <c r="DR1" i="4"/>
  <c r="DS1" i="4"/>
  <c r="DT1" i="4"/>
  <c r="DU1" i="4"/>
  <c r="DV1" i="4"/>
  <c r="DW1" i="4"/>
  <c r="DX1" i="4"/>
  <c r="DY1" i="4"/>
  <c r="DZ1" i="4"/>
  <c r="EA1" i="4"/>
  <c r="EB1" i="4"/>
  <c r="EC1" i="4"/>
  <c r="ED1" i="4"/>
  <c r="EE1" i="4"/>
  <c r="EF1" i="4"/>
  <c r="EG1" i="4"/>
  <c r="EH1" i="4"/>
  <c r="EI1" i="4"/>
  <c r="O19" i="1" l="1"/>
  <c r="O21" i="1"/>
  <c r="O9" i="1"/>
</calcChain>
</file>

<file path=xl/sharedStrings.xml><?xml version="1.0" encoding="utf-8"?>
<sst xmlns="http://schemas.openxmlformats.org/spreadsheetml/2006/main" count="28" uniqueCount="21">
  <si>
    <t>1/t</t>
    <phoneticPr fontId="3"/>
  </si>
  <si>
    <t>ln(k)</t>
    <phoneticPr fontId="3"/>
  </si>
  <si>
    <t>ln(k)</t>
    <phoneticPr fontId="3"/>
  </si>
  <si>
    <t>活性化エネルギーE[kJ/mol]</t>
    <rPh sb="0" eb="3">
      <t>カッセイカ</t>
    </rPh>
    <phoneticPr fontId="3"/>
  </si>
  <si>
    <t>t[℃]</t>
    <phoneticPr fontId="3"/>
  </si>
  <si>
    <t>k(鉄ミョ)[/min]</t>
    <rPh sb="2" eb="3">
      <t>テツ</t>
    </rPh>
    <phoneticPr fontId="3"/>
  </si>
  <si>
    <t>AAAAAEv9Xos=</t>
  </si>
  <si>
    <t>AAAAAEv9Xow=</t>
  </si>
  <si>
    <t>凡例：</t>
    <rPh sb="0" eb="2">
      <t>ハンレイ</t>
    </rPh>
    <phoneticPr fontId="5"/>
  </si>
  <si>
    <t>測定値</t>
    <rPh sb="0" eb="2">
      <t>ソクテイ</t>
    </rPh>
    <rPh sb="2" eb="3">
      <t>アタイ</t>
    </rPh>
    <phoneticPr fontId="5"/>
  </si>
  <si>
    <t>与えられた値</t>
    <rPh sb="0" eb="1">
      <t>アタ</t>
    </rPh>
    <rPh sb="5" eb="6">
      <t>アタイ</t>
    </rPh>
    <phoneticPr fontId="5"/>
  </si>
  <si>
    <t>計算値</t>
    <rPh sb="0" eb="2">
      <t>ケイサン</t>
    </rPh>
    <rPh sb="2" eb="3">
      <t>アタイ</t>
    </rPh>
    <phoneticPr fontId="5"/>
  </si>
  <si>
    <t>アレニウスプロットを用いた活性化エネルギーの算出</t>
    <rPh sb="10" eb="11">
      <t>モチ</t>
    </rPh>
    <rPh sb="13" eb="16">
      <t>カッセイカ</t>
    </rPh>
    <rPh sb="22" eb="24">
      <t>サンシュツ</t>
    </rPh>
    <phoneticPr fontId="5"/>
  </si>
  <si>
    <t>AAAAAD/d7zw=</t>
  </si>
  <si>
    <t>AAAAAD/d7z0=</t>
  </si>
  <si>
    <t>k(KI)[/min]</t>
    <phoneticPr fontId="3"/>
  </si>
  <si>
    <t>(入力例)</t>
    <rPh sb="1" eb="4">
      <t>ニュウリョクレイ</t>
    </rPh>
    <phoneticPr fontId="3"/>
  </si>
  <si>
    <t>セル内の数値を消去する際は1セルずつ行なってください。</t>
    <rPh sb="2" eb="3">
      <t>ナイ</t>
    </rPh>
    <rPh sb="4" eb="6">
      <t>スウチ</t>
    </rPh>
    <rPh sb="7" eb="9">
      <t>ショウキョ</t>
    </rPh>
    <rPh sb="11" eb="12">
      <t>サイ</t>
    </rPh>
    <rPh sb="18" eb="19">
      <t>オコ</t>
    </rPh>
    <phoneticPr fontId="3"/>
  </si>
  <si>
    <t>未測定の箇所は空欄のままで構いません。</t>
    <rPh sb="0" eb="3">
      <t>ミソクテイ</t>
    </rPh>
    <rPh sb="4" eb="6">
      <t>カショ</t>
    </rPh>
    <rPh sb="7" eb="9">
      <t>クウラン</t>
    </rPh>
    <rPh sb="13" eb="14">
      <t>カマ</t>
    </rPh>
    <phoneticPr fontId="3"/>
  </si>
  <si>
    <t>赤色と橙色のセル以外は書き換えないでください。</t>
    <phoneticPr fontId="3"/>
  </si>
  <si>
    <t>注意：</t>
    <rPh sb="0" eb="2">
      <t>チュウイ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</si>
</sst>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7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4" fillId="3" borderId="14" xfId="3" applyFont="1" applyBorder="1">
      <alignment vertical="center"/>
    </xf>
    <xf numFmtId="0" fontId="4" fillId="3" borderId="15" xfId="3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3" borderId="0" xfId="3">
      <alignment vertical="center"/>
    </xf>
    <xf numFmtId="0" fontId="2" fillId="4" borderId="0" xfId="4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wrapText="1"/>
    </xf>
    <xf numFmtId="0" fontId="1" fillId="0" borderId="0" xfId="1" applyAlignment="1">
      <alignment horizontal="center" vertical="center"/>
    </xf>
    <xf numFmtId="0" fontId="0" fillId="0" borderId="0" xfId="0" applyFont="1" applyBorder="1">
      <alignment vertical="center"/>
    </xf>
    <xf numFmtId="1" fontId="4" fillId="2" borderId="8" xfId="2" applyNumberFormat="1" applyFont="1" applyBorder="1" applyAlignment="1">
      <alignment horizontal="center" vertical="center"/>
    </xf>
    <xf numFmtId="1" fontId="4" fillId="2" borderId="1" xfId="2" applyNumberFormat="1" applyFont="1" applyBorder="1" applyAlignment="1">
      <alignment horizontal="center" vertical="center"/>
    </xf>
    <xf numFmtId="1" fontId="4" fillId="2" borderId="20" xfId="2" applyNumberFormat="1" applyFont="1" applyBorder="1" applyAlignment="1">
      <alignment horizontal="center" vertical="center"/>
    </xf>
    <xf numFmtId="0" fontId="2" fillId="2" borderId="0" xfId="2">
      <alignment vertical="center"/>
    </xf>
    <xf numFmtId="0" fontId="1" fillId="0" borderId="0" xfId="1">
      <alignment vertical="center"/>
    </xf>
    <xf numFmtId="0" fontId="4" fillId="4" borderId="0" xfId="4" applyFont="1" applyBorder="1" applyAlignment="1">
      <alignment vertical="center"/>
    </xf>
    <xf numFmtId="0" fontId="4" fillId="2" borderId="0" xfId="2" applyFont="1" applyBorder="1" applyAlignment="1">
      <alignment vertical="center"/>
    </xf>
    <xf numFmtId="0" fontId="4" fillId="3" borderId="0" xfId="3" applyFont="1" applyBorder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4" fillId="4" borderId="10" xfId="4" applyNumberFormat="1" applyFont="1" applyBorder="1">
      <alignment vertical="center"/>
    </xf>
    <xf numFmtId="176" fontId="4" fillId="4" borderId="3" xfId="4" applyNumberFormat="1" applyFont="1" applyBorder="1">
      <alignment vertical="center"/>
    </xf>
    <xf numFmtId="176" fontId="4" fillId="4" borderId="5" xfId="4" applyNumberFormat="1" applyFont="1" applyBorder="1">
      <alignment vertical="center"/>
    </xf>
    <xf numFmtId="176" fontId="4" fillId="4" borderId="7" xfId="4" applyNumberFormat="1" applyFont="1" applyBorder="1">
      <alignment vertical="center"/>
    </xf>
    <xf numFmtId="176" fontId="4" fillId="4" borderId="21" xfId="4" applyNumberFormat="1" applyFont="1" applyBorder="1">
      <alignment vertical="center"/>
    </xf>
    <xf numFmtId="176" fontId="4" fillId="4" borderId="11" xfId="4" applyNumberFormat="1" applyFont="1" applyBorder="1">
      <alignment vertical="center"/>
    </xf>
    <xf numFmtId="176" fontId="4" fillId="4" borderId="4" xfId="4" applyNumberFormat="1" applyFont="1" applyBorder="1">
      <alignment vertical="center"/>
    </xf>
    <xf numFmtId="176" fontId="4" fillId="4" borderId="2" xfId="4" applyNumberFormat="1" applyFont="1" applyBorder="1">
      <alignment vertical="center"/>
    </xf>
    <xf numFmtId="176" fontId="4" fillId="4" borderId="6" xfId="4" applyNumberFormat="1" applyFont="1" applyBorder="1">
      <alignment vertical="center"/>
    </xf>
    <xf numFmtId="176" fontId="4" fillId="4" borderId="22" xfId="4" applyNumberFormat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">
    <cellStyle name="アクセント 2" xfId="2" builtinId="33"/>
    <cellStyle name="アクセント 5" xfId="3" builtinId="45"/>
    <cellStyle name="アクセント 6" xfId="4" builtinId="49"/>
    <cellStyle name="タイトル" xfId="1" builtinId="1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O22"/>
  <sheetViews>
    <sheetView tabSelected="1" workbookViewId="0">
      <selection activeCell="O9" sqref="O9"/>
    </sheetView>
  </sheetViews>
  <sheetFormatPr defaultRowHeight="13.5" x14ac:dyDescent="0.15"/>
  <cols>
    <col min="2" max="2" width="13.125" bestFit="1" customWidth="1"/>
    <col min="15" max="15" width="31.375" bestFit="1" customWidth="1"/>
  </cols>
  <sheetData>
    <row r="3" spans="2:15" ht="21" x14ac:dyDescent="0.15">
      <c r="B3" s="13"/>
      <c r="C3" s="14" t="s">
        <v>12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5" ht="14.25" thickBot="1" x14ac:dyDescent="0.2"/>
    <row r="5" spans="2:15" ht="14.25" thickBot="1" x14ac:dyDescent="0.2">
      <c r="B5" s="6" t="s">
        <v>4</v>
      </c>
      <c r="C5" s="16">
        <v>27</v>
      </c>
      <c r="D5" s="17">
        <v>27</v>
      </c>
      <c r="E5" s="17">
        <v>33</v>
      </c>
      <c r="F5" s="17">
        <v>33</v>
      </c>
      <c r="G5" s="17">
        <v>39</v>
      </c>
      <c r="H5" s="17">
        <v>39</v>
      </c>
      <c r="I5" s="17">
        <v>45</v>
      </c>
      <c r="J5" s="17">
        <v>45</v>
      </c>
      <c r="K5" s="17">
        <v>45</v>
      </c>
      <c r="L5" s="17">
        <v>45</v>
      </c>
      <c r="M5" s="17">
        <v>45</v>
      </c>
      <c r="N5" s="18">
        <v>45</v>
      </c>
      <c r="O5" s="2" t="s">
        <v>3</v>
      </c>
    </row>
    <row r="6" spans="2:15" ht="14.25" hidden="1" thickTop="1" x14ac:dyDescent="0.15">
      <c r="B6" s="7" t="s">
        <v>0</v>
      </c>
      <c r="C6" s="1">
        <f>IFERROR(1/(C5+273),"")</f>
        <v>3.3333333333333335E-3</v>
      </c>
      <c r="D6" s="1">
        <f t="shared" ref="D6:N6" si="0">IFERROR(1/(D5+273),"")</f>
        <v>3.3333333333333335E-3</v>
      </c>
      <c r="E6" s="1">
        <f t="shared" si="0"/>
        <v>3.2679738562091504E-3</v>
      </c>
      <c r="F6" s="1">
        <f t="shared" si="0"/>
        <v>3.2679738562091504E-3</v>
      </c>
      <c r="G6" s="1">
        <f t="shared" si="0"/>
        <v>3.205128205128205E-3</v>
      </c>
      <c r="H6" s="1">
        <f t="shared" si="0"/>
        <v>3.205128205128205E-3</v>
      </c>
      <c r="I6" s="1">
        <f t="shared" si="0"/>
        <v>3.1446540880503146E-3</v>
      </c>
      <c r="J6" s="1">
        <f t="shared" si="0"/>
        <v>3.1446540880503146E-3</v>
      </c>
      <c r="K6" s="1">
        <f t="shared" si="0"/>
        <v>3.1446540880503146E-3</v>
      </c>
      <c r="L6" s="1">
        <f t="shared" si="0"/>
        <v>3.1446540880503146E-3</v>
      </c>
      <c r="M6" s="1">
        <f t="shared" si="0"/>
        <v>3.1446540880503146E-3</v>
      </c>
      <c r="N6" s="1">
        <f t="shared" si="0"/>
        <v>3.1446540880503146E-3</v>
      </c>
      <c r="O6" s="3"/>
    </row>
    <row r="7" spans="2:15" ht="14.25" thickTop="1" x14ac:dyDescent="0.15">
      <c r="B7" s="8" t="s">
        <v>5</v>
      </c>
      <c r="C7" s="26"/>
      <c r="D7" s="27"/>
      <c r="E7" s="28"/>
      <c r="F7" s="27"/>
      <c r="G7" s="28"/>
      <c r="H7" s="27"/>
      <c r="I7" s="28"/>
      <c r="J7" s="29"/>
      <c r="K7" s="29"/>
      <c r="L7" s="29"/>
      <c r="M7" s="29"/>
      <c r="N7" s="30"/>
      <c r="O7" s="4" t="str">
        <f>IFERROR(-SLOPE(C8:N8,C6:N6)*8.314/1000,"←反応速度定数を入力してください")</f>
        <v>←反応速度定数を入力してください</v>
      </c>
    </row>
    <row r="8" spans="2:15" hidden="1" x14ac:dyDescent="0.15">
      <c r="B8" s="8" t="s">
        <v>1</v>
      </c>
      <c r="C8" s="26" t="str">
        <f>IFERROR(LN(C7),"")</f>
        <v/>
      </c>
      <c r="D8" s="26" t="str">
        <f t="shared" ref="D8:M8" si="1">IFERROR(LN(D7),"")</f>
        <v/>
      </c>
      <c r="E8" s="26" t="str">
        <f t="shared" si="1"/>
        <v/>
      </c>
      <c r="F8" s="26" t="str">
        <f t="shared" si="1"/>
        <v/>
      </c>
      <c r="G8" s="26" t="str">
        <f t="shared" si="1"/>
        <v/>
      </c>
      <c r="H8" s="26" t="str">
        <f>IFERROR(LN(H7),"")</f>
        <v/>
      </c>
      <c r="I8" s="26" t="str">
        <f t="shared" si="1"/>
        <v/>
      </c>
      <c r="J8" s="26" t="str">
        <f t="shared" si="1"/>
        <v/>
      </c>
      <c r="K8" s="26" t="str">
        <f t="shared" si="1"/>
        <v/>
      </c>
      <c r="L8" s="26" t="str">
        <f t="shared" si="1"/>
        <v/>
      </c>
      <c r="M8" s="26" t="str">
        <f t="shared" si="1"/>
        <v/>
      </c>
      <c r="N8" s="26" t="str">
        <f>IFERROR(LN(N7),"")</f>
        <v/>
      </c>
      <c r="O8" s="4"/>
    </row>
    <row r="9" spans="2:15" ht="14.25" thickBot="1" x14ac:dyDescent="0.2">
      <c r="B9" s="9" t="s">
        <v>15</v>
      </c>
      <c r="C9" s="31"/>
      <c r="D9" s="32"/>
      <c r="E9" s="33"/>
      <c r="F9" s="32"/>
      <c r="G9" s="33"/>
      <c r="H9" s="32"/>
      <c r="I9" s="33"/>
      <c r="J9" s="34"/>
      <c r="K9" s="34"/>
      <c r="L9" s="34"/>
      <c r="M9" s="34"/>
      <c r="N9" s="35"/>
      <c r="O9" s="5" t="str">
        <f>IFERROR(-SLOPE(C10:N10,C6:N6)*8.314/1000,"←反応速度定数を入力してください")</f>
        <v>←反応速度定数を入力してください</v>
      </c>
    </row>
    <row r="10" spans="2:15" hidden="1" x14ac:dyDescent="0.15">
      <c r="B10" t="s">
        <v>2</v>
      </c>
      <c r="C10" t="str">
        <f>IFERROR(LN(C9),"")</f>
        <v/>
      </c>
      <c r="D10" t="str">
        <f t="shared" ref="D10:N10" si="2">IFERROR(LN(D9),"")</f>
        <v/>
      </c>
      <c r="E10" t="str">
        <f t="shared" si="2"/>
        <v/>
      </c>
      <c r="F10" t="str">
        <f t="shared" si="2"/>
        <v/>
      </c>
      <c r="G10" t="str">
        <f t="shared" si="2"/>
        <v/>
      </c>
      <c r="H10" t="str">
        <f t="shared" si="2"/>
        <v/>
      </c>
      <c r="I10" t="str">
        <f t="shared" si="2"/>
        <v/>
      </c>
      <c r="J10" t="str">
        <f t="shared" si="2"/>
        <v/>
      </c>
      <c r="K10" t="str">
        <f t="shared" si="2"/>
        <v/>
      </c>
      <c r="L10" t="str">
        <f t="shared" si="2"/>
        <v/>
      </c>
      <c r="M10" t="str">
        <f t="shared" si="2"/>
        <v/>
      </c>
      <c r="N10" t="str">
        <f t="shared" si="2"/>
        <v/>
      </c>
    </row>
    <row r="12" spans="2:15" ht="13.5" customHeight="1" x14ac:dyDescent="0.15">
      <c r="G12" s="24" t="s">
        <v>20</v>
      </c>
      <c r="H12" s="36" t="s">
        <v>18</v>
      </c>
      <c r="I12" s="36"/>
      <c r="J12" s="36"/>
      <c r="K12" s="36"/>
      <c r="L12" s="36"/>
      <c r="M12" s="36"/>
      <c r="N12" s="12" t="s">
        <v>8</v>
      </c>
      <c r="O12" s="21" t="s">
        <v>9</v>
      </c>
    </row>
    <row r="13" spans="2:15" ht="13.5" customHeight="1" x14ac:dyDescent="0.15">
      <c r="H13" s="36" t="s">
        <v>19</v>
      </c>
      <c r="I13" s="36"/>
      <c r="J13" s="36"/>
      <c r="K13" s="36"/>
      <c r="L13" s="36"/>
      <c r="M13" s="36"/>
      <c r="N13" s="15"/>
      <c r="O13" s="22" t="s">
        <v>10</v>
      </c>
    </row>
    <row r="14" spans="2:15" x14ac:dyDescent="0.15">
      <c r="H14" s="37" t="s">
        <v>17</v>
      </c>
      <c r="I14" s="37"/>
      <c r="J14" s="37"/>
      <c r="K14" s="37"/>
      <c r="L14" s="37"/>
      <c r="M14" s="37"/>
      <c r="N14" s="15"/>
      <c r="O14" s="23" t="s">
        <v>11</v>
      </c>
    </row>
    <row r="16" spans="2:15" ht="14.25" thickBot="1" x14ac:dyDescent="0.2">
      <c r="B16" s="25" t="s">
        <v>16</v>
      </c>
    </row>
    <row r="17" spans="2:15" ht="14.25" thickBot="1" x14ac:dyDescent="0.2">
      <c r="B17" s="6" t="s">
        <v>4</v>
      </c>
      <c r="C17" s="16">
        <v>27</v>
      </c>
      <c r="D17" s="17">
        <v>27</v>
      </c>
      <c r="E17" s="17">
        <v>33</v>
      </c>
      <c r="F17" s="17">
        <v>33</v>
      </c>
      <c r="G17" s="17">
        <v>39</v>
      </c>
      <c r="H17" s="17">
        <v>39</v>
      </c>
      <c r="I17" s="17">
        <v>45</v>
      </c>
      <c r="J17" s="17">
        <v>45</v>
      </c>
      <c r="K17" s="17">
        <v>45</v>
      </c>
      <c r="L17" s="17">
        <v>45</v>
      </c>
      <c r="M17" s="17">
        <v>45</v>
      </c>
      <c r="N17" s="18">
        <v>45</v>
      </c>
      <c r="O17" s="2" t="s">
        <v>3</v>
      </c>
    </row>
    <row r="18" spans="2:15" ht="14.25" hidden="1" thickTop="1" x14ac:dyDescent="0.15">
      <c r="B18" s="7" t="s">
        <v>0</v>
      </c>
      <c r="C18" s="1">
        <f>IFERROR(1/(C17+273),"")</f>
        <v>3.3333333333333335E-3</v>
      </c>
      <c r="D18" s="1">
        <f t="shared" ref="D18" si="3">IFERROR(1/(D17+273),"")</f>
        <v>3.3333333333333335E-3</v>
      </c>
      <c r="E18" s="1">
        <f t="shared" ref="E18" si="4">IFERROR(1/(E17+273),"")</f>
        <v>3.2679738562091504E-3</v>
      </c>
      <c r="F18" s="1">
        <f t="shared" ref="F18" si="5">IFERROR(1/(F17+273),"")</f>
        <v>3.2679738562091504E-3</v>
      </c>
      <c r="G18" s="1">
        <f t="shared" ref="G18" si="6">IFERROR(1/(G17+273),"")</f>
        <v>3.205128205128205E-3</v>
      </c>
      <c r="H18" s="1">
        <f t="shared" ref="H18" si="7">IFERROR(1/(H17+273),"")</f>
        <v>3.205128205128205E-3</v>
      </c>
      <c r="I18" s="1">
        <f t="shared" ref="I18" si="8">IFERROR(1/(I17+273),"")</f>
        <v>3.1446540880503146E-3</v>
      </c>
      <c r="J18" s="1">
        <f t="shared" ref="J18" si="9">IFERROR(1/(J17+273),"")</f>
        <v>3.1446540880503146E-3</v>
      </c>
      <c r="K18" s="1">
        <f t="shared" ref="K18" si="10">IFERROR(1/(K17+273),"")</f>
        <v>3.1446540880503146E-3</v>
      </c>
      <c r="L18" s="1">
        <f t="shared" ref="L18" si="11">IFERROR(1/(L17+273),"")</f>
        <v>3.1446540880503146E-3</v>
      </c>
      <c r="M18" s="1">
        <f t="shared" ref="M18" si="12">IFERROR(1/(M17+273),"")</f>
        <v>3.1446540880503146E-3</v>
      </c>
      <c r="N18" s="1">
        <f t="shared" ref="N18" si="13">IFERROR(1/(N17+273),"")</f>
        <v>3.1446540880503146E-3</v>
      </c>
      <c r="O18" s="3"/>
    </row>
    <row r="19" spans="2:15" ht="14.25" thickTop="1" x14ac:dyDescent="0.15">
      <c r="B19" s="8" t="s">
        <v>5</v>
      </c>
      <c r="C19" s="26">
        <v>5.04E-2</v>
      </c>
      <c r="D19" s="27">
        <v>5.6899999999999999E-2</v>
      </c>
      <c r="E19" s="28">
        <v>0.105</v>
      </c>
      <c r="F19" s="27">
        <v>0.97399999999999998</v>
      </c>
      <c r="G19" s="28">
        <v>0.157</v>
      </c>
      <c r="H19" s="27"/>
      <c r="I19" s="28">
        <v>0.47499999999999998</v>
      </c>
      <c r="J19" s="29">
        <v>0.443</v>
      </c>
      <c r="K19" s="29">
        <v>0.35799999999999998</v>
      </c>
      <c r="L19" s="29">
        <v>0.39100000000000001</v>
      </c>
      <c r="M19" s="29">
        <v>0.47099999999999997</v>
      </c>
      <c r="N19" s="30"/>
      <c r="O19" s="4">
        <f>IFERROR(-SLOPE(C20:N20,C18:N18)*8.314/1000,"←反応速度定数を入力してください")</f>
        <v>74.202348063329509</v>
      </c>
    </row>
    <row r="20" spans="2:15" hidden="1" x14ac:dyDescent="0.15">
      <c r="B20" s="8" t="s">
        <v>1</v>
      </c>
      <c r="C20" s="26">
        <f>IFERROR(LN(C19),"")</f>
        <v>-2.987764103904814</v>
      </c>
      <c r="D20" s="26">
        <f t="shared" ref="D20" si="14">IFERROR(LN(D19),"")</f>
        <v>-2.8664599378498519</v>
      </c>
      <c r="E20" s="26">
        <f t="shared" ref="E20" si="15">IFERROR(LN(E19),"")</f>
        <v>-2.2537949288246137</v>
      </c>
      <c r="F20" s="26">
        <f t="shared" ref="F20" si="16">IFERROR(LN(F19),"")</f>
        <v>-2.6343975339601977E-2</v>
      </c>
      <c r="G20" s="26">
        <f t="shared" ref="G20" si="17">IFERROR(LN(G19),"")</f>
        <v>-1.8515094736338289</v>
      </c>
      <c r="H20" s="26" t="str">
        <f>IFERROR(LN(H19),"")</f>
        <v/>
      </c>
      <c r="I20" s="26">
        <f t="shared" ref="I20" si="18">IFERROR(LN(I19),"")</f>
        <v>-0.74444047494749588</v>
      </c>
      <c r="J20" s="26">
        <f t="shared" ref="J20" si="19">IFERROR(LN(J19),"")</f>
        <v>-0.81418550893700137</v>
      </c>
      <c r="K20" s="26">
        <f t="shared" ref="K20" si="20">IFERROR(LN(K19),"")</f>
        <v>-1.0272222925814367</v>
      </c>
      <c r="L20" s="26">
        <f t="shared" ref="L20" si="21">IFERROR(LN(L19),"")</f>
        <v>-0.9390477189967712</v>
      </c>
      <c r="M20" s="26">
        <f t="shared" ref="M20" si="22">IFERROR(LN(M19),"")</f>
        <v>-0.75289718496571933</v>
      </c>
      <c r="N20" s="26" t="str">
        <f>IFERROR(LN(N19),"")</f>
        <v/>
      </c>
      <c r="O20" s="4"/>
    </row>
    <row r="21" spans="2:15" ht="14.25" thickBot="1" x14ac:dyDescent="0.2">
      <c r="B21" s="9" t="s">
        <v>15</v>
      </c>
      <c r="C21" s="31">
        <v>0.129</v>
      </c>
      <c r="D21" s="32">
        <v>0.16800000000000001</v>
      </c>
      <c r="E21" s="33">
        <v>0.254</v>
      </c>
      <c r="F21" s="32">
        <v>0.22800000000000001</v>
      </c>
      <c r="G21" s="33">
        <v>0.32500000000000001</v>
      </c>
      <c r="H21" s="32"/>
      <c r="I21" s="33">
        <v>0.53700000000000003</v>
      </c>
      <c r="J21" s="34">
        <v>0.51700000000000002</v>
      </c>
      <c r="K21" s="34">
        <v>0.55900000000000005</v>
      </c>
      <c r="L21" s="34">
        <v>0.499</v>
      </c>
      <c r="M21" s="34">
        <v>0.57499999999999996</v>
      </c>
      <c r="N21" s="35"/>
      <c r="O21" s="5">
        <f>IFERROR(-SLOPE(C22:N22,C18:N18)*8.314/1000,"←反応速度定数を入力してください")</f>
        <v>56.223105955361014</v>
      </c>
    </row>
    <row r="22" spans="2:15" hidden="1" x14ac:dyDescent="0.15">
      <c r="B22" t="s">
        <v>2</v>
      </c>
      <c r="C22">
        <f>IFERROR(LN(C21),"")</f>
        <v>-2.0479428746204649</v>
      </c>
      <c r="D22">
        <f t="shared" ref="D22" si="23">IFERROR(LN(D21),"")</f>
        <v>-1.7837912995788781</v>
      </c>
      <c r="E22">
        <f t="shared" ref="E22" si="24">IFERROR(LN(E21),"")</f>
        <v>-1.3704210119636004</v>
      </c>
      <c r="F22">
        <f t="shared" ref="F22" si="25">IFERROR(LN(F21),"")</f>
        <v>-1.4784096500276962</v>
      </c>
      <c r="G22">
        <f t="shared" ref="G22" si="26">IFERROR(LN(G21),"")</f>
        <v>-1.1239300966523995</v>
      </c>
      <c r="H22" t="str">
        <f t="shared" ref="H22" si="27">IFERROR(LN(H21),"")</f>
        <v/>
      </c>
      <c r="I22">
        <f t="shared" ref="I22" si="28">IFERROR(LN(I21),"")</f>
        <v>-0.62175718447327233</v>
      </c>
      <c r="J22">
        <f t="shared" ref="J22" si="29">IFERROR(LN(J21),"")</f>
        <v>-0.65971240447370794</v>
      </c>
      <c r="K22">
        <f t="shared" ref="K22" si="30">IFERROR(LN(K21),"")</f>
        <v>-0.5816058058270378</v>
      </c>
      <c r="L22">
        <f t="shared" ref="L22" si="31">IFERROR(LN(L21),"")</f>
        <v>-0.69514918323061836</v>
      </c>
      <c r="M22">
        <f t="shared" ref="M22" si="32">IFERROR(LN(M21),"")</f>
        <v>-0.55338523818478669</v>
      </c>
      <c r="N22" t="str">
        <f t="shared" ref="N22" si="33">IFERROR(LN(N21),"")</f>
        <v/>
      </c>
    </row>
  </sheetData>
  <mergeCells count="4">
    <mergeCell ref="H13:M13"/>
    <mergeCell ref="H14:M14"/>
    <mergeCell ref="C3:N3"/>
    <mergeCell ref="H12:M12"/>
  </mergeCells>
  <phoneticPr fontId="3"/>
  <pageMargins left="0.7" right="0.7" top="0.75" bottom="0.75" header="0.3" footer="0.3"/>
  <pageSetup paperSize="9" orientation="portrait" horizontalDpi="4294967293" verticalDpi="0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K8"/>
  <sheetViews>
    <sheetView workbookViewId="0">
      <selection activeCell="BJ2" sqref="BJ2"/>
    </sheetView>
  </sheetViews>
  <sheetFormatPr defaultRowHeight="13.5" x14ac:dyDescent="0.15"/>
  <sheetData>
    <row r="1" spans="1:141" x14ac:dyDescent="0.15">
      <c r="A1" t="e">
        <f>IF(Sheet1!#REF!,"AAAAAEv9XgA=",0)</f>
        <v>#REF!</v>
      </c>
      <c r="B1" t="e">
        <f>AND(Sheet1!#REF!,"AAAAAEv9XgE=")</f>
        <v>#REF!</v>
      </c>
      <c r="C1" t="e">
        <f>AND(Sheet1!#REF!,"AAAAAEv9XgI=")</f>
        <v>#REF!</v>
      </c>
      <c r="D1" t="e">
        <f>AND(Sheet1!#REF!,"AAAAAEv9XgM=")</f>
        <v>#REF!</v>
      </c>
      <c r="E1" t="e">
        <f>AND(Sheet1!#REF!,"AAAAAEv9XgQ=")</f>
        <v>#REF!</v>
      </c>
      <c r="F1" t="e">
        <f>AND(Sheet1!#REF!,"AAAAAEv9XgU=")</f>
        <v>#REF!</v>
      </c>
      <c r="G1" t="e">
        <f>AND(Sheet1!#REF!,"AAAAAEv9XgY=")</f>
        <v>#REF!</v>
      </c>
      <c r="H1" t="e">
        <f>AND(Sheet1!#REF!,"AAAAAEv9Xgc=")</f>
        <v>#REF!</v>
      </c>
      <c r="I1" t="e">
        <f>AND(Sheet1!#REF!,"AAAAAEv9Xgg=")</f>
        <v>#REF!</v>
      </c>
      <c r="J1" t="e">
        <f>AND(Sheet1!#REF!,"AAAAAEv9Xgk=")</f>
        <v>#REF!</v>
      </c>
      <c r="K1" t="e">
        <f>AND(Sheet1!#REF!,"AAAAAEv9Xgo=")</f>
        <v>#REF!</v>
      </c>
      <c r="L1" t="e">
        <f>AND(Sheet1!#REF!,"AAAAAEv9Xgs=")</f>
        <v>#REF!</v>
      </c>
      <c r="M1" t="e">
        <f>AND(Sheet1!#REF!,"AAAAAEv9Xgw=")</f>
        <v>#REF!</v>
      </c>
      <c r="N1" t="e">
        <f>AND(Sheet1!#REF!,"AAAAAEv9Xg0=")</f>
        <v>#REF!</v>
      </c>
      <c r="O1" t="e">
        <f>AND(Sheet1!#REF!,"AAAAAEv9Xg4=")</f>
        <v>#REF!</v>
      </c>
      <c r="P1" t="e">
        <f>IF(Sheet1!#REF!,"AAAAAEv9Xg8=",0)</f>
        <v>#REF!</v>
      </c>
      <c r="Q1" t="e">
        <f>AND(Sheet1!#REF!,"AAAAAEv9XhA=")</f>
        <v>#REF!</v>
      </c>
      <c r="R1" t="e">
        <f>AND(Sheet1!#REF!,"AAAAAEv9XhE=")</f>
        <v>#REF!</v>
      </c>
      <c r="S1" t="e">
        <f>AND(Sheet1!#REF!,"AAAAAEv9XhI=")</f>
        <v>#REF!</v>
      </c>
      <c r="T1" t="e">
        <f>AND(Sheet1!#REF!,"AAAAAEv9XhM=")</f>
        <v>#REF!</v>
      </c>
      <c r="U1" t="e">
        <f>AND(Sheet1!#REF!,"AAAAAEv9XhQ=")</f>
        <v>#REF!</v>
      </c>
      <c r="V1" t="e">
        <f>AND(Sheet1!#REF!,"AAAAAEv9XhU=")</f>
        <v>#REF!</v>
      </c>
      <c r="W1" t="e">
        <f>AND(Sheet1!#REF!,"AAAAAEv9XhY=")</f>
        <v>#REF!</v>
      </c>
      <c r="X1" t="e">
        <f>AND(Sheet1!#REF!,"AAAAAEv9Xhc=")</f>
        <v>#REF!</v>
      </c>
      <c r="Y1" t="e">
        <f>AND(Sheet1!#REF!,"AAAAAEv9Xhg=")</f>
        <v>#REF!</v>
      </c>
      <c r="Z1" t="e">
        <f>AND(Sheet1!#REF!,"AAAAAEv9Xhk=")</f>
        <v>#REF!</v>
      </c>
      <c r="AA1" t="e">
        <f>AND(Sheet1!#REF!,"AAAAAEv9Xho=")</f>
        <v>#REF!</v>
      </c>
      <c r="AB1" t="e">
        <f>AND(Sheet1!#REF!,"AAAAAEv9Xhs=")</f>
        <v>#REF!</v>
      </c>
      <c r="AC1" t="e">
        <f>AND(Sheet1!N14,"AAAAAEv9Xhw=")</f>
        <v>#VALUE!</v>
      </c>
      <c r="AD1" t="e">
        <f>AND(Sheet1!O14,"AAAAAEv9Xh0=")</f>
        <v>#VALUE!</v>
      </c>
      <c r="AE1">
        <f>IF(Sheet1!5:5,"AAAAAEv9Xh4=",0)</f>
        <v>0</v>
      </c>
      <c r="AF1" t="e">
        <f>AND(Sheet1!B5,"AAAAAEv9Xh8=")</f>
        <v>#VALUE!</v>
      </c>
      <c r="AG1" t="e">
        <f>AND(Sheet1!C5,"AAAAAEv9XiA=")</f>
        <v>#VALUE!</v>
      </c>
      <c r="AH1" t="e">
        <f>AND(Sheet1!D5,"AAAAAEv9XiE=")</f>
        <v>#VALUE!</v>
      </c>
      <c r="AI1" t="e">
        <f>AND(Sheet1!E5,"AAAAAEv9XiI=")</f>
        <v>#VALUE!</v>
      </c>
      <c r="AJ1" t="e">
        <f>AND(Sheet1!F5,"AAAAAEv9XiM=")</f>
        <v>#VALUE!</v>
      </c>
      <c r="AK1" t="e">
        <f>AND(Sheet1!G5,"AAAAAEv9XiQ=")</f>
        <v>#VALUE!</v>
      </c>
      <c r="AL1" t="e">
        <f>AND(Sheet1!H5,"AAAAAEv9XiU=")</f>
        <v>#VALUE!</v>
      </c>
      <c r="AM1" t="e">
        <f>AND(Sheet1!I5,"AAAAAEv9XiY=")</f>
        <v>#VALUE!</v>
      </c>
      <c r="AN1" t="e">
        <f>AND(Sheet1!J5,"AAAAAEv9Xic=")</f>
        <v>#VALUE!</v>
      </c>
      <c r="AO1" t="e">
        <f>AND(Sheet1!K5,"AAAAAEv9Xig=")</f>
        <v>#VALUE!</v>
      </c>
      <c r="AP1" t="e">
        <f>AND(Sheet1!L5,"AAAAAEv9Xik=")</f>
        <v>#VALUE!</v>
      </c>
      <c r="AQ1" t="e">
        <f>AND(Sheet1!M5,"AAAAAEv9Xio=")</f>
        <v>#VALUE!</v>
      </c>
      <c r="AR1" t="e">
        <f>AND(Sheet1!N5,"AAAAAEv9Xis=")</f>
        <v>#VALUE!</v>
      </c>
      <c r="AS1" t="e">
        <f>AND(Sheet1!O5,"AAAAAEv9Xiw=")</f>
        <v>#VALUE!</v>
      </c>
      <c r="AT1">
        <f>IF(Sheet1!6:6,"AAAAAEv9Xi0=",0)</f>
        <v>0</v>
      </c>
      <c r="AU1" t="e">
        <f>AND(Sheet1!B6,"AAAAAEv9Xi4=")</f>
        <v>#VALUE!</v>
      </c>
      <c r="AV1" t="e">
        <f>AND(Sheet1!C6,"AAAAAEv9Xi8=")</f>
        <v>#VALUE!</v>
      </c>
      <c r="AW1" t="e">
        <f>AND(Sheet1!D6,"AAAAAEv9XjA=")</f>
        <v>#VALUE!</v>
      </c>
      <c r="AX1" t="e">
        <f>AND(Sheet1!E6,"AAAAAEv9XjE=")</f>
        <v>#VALUE!</v>
      </c>
      <c r="AY1" t="e">
        <f>AND(Sheet1!F6,"AAAAAEv9XjI=")</f>
        <v>#VALUE!</v>
      </c>
      <c r="AZ1" t="e">
        <f>AND(Sheet1!G6,"AAAAAEv9XjM=")</f>
        <v>#VALUE!</v>
      </c>
      <c r="BA1" t="e">
        <f>AND(Sheet1!H6,"AAAAAEv9XjQ=")</f>
        <v>#VALUE!</v>
      </c>
      <c r="BB1" t="e">
        <f>AND(Sheet1!I6,"AAAAAEv9XjU=")</f>
        <v>#VALUE!</v>
      </c>
      <c r="BC1" t="e">
        <f>AND(Sheet1!J6,"AAAAAEv9XjY=")</f>
        <v>#VALUE!</v>
      </c>
      <c r="BD1" t="e">
        <f>AND(Sheet1!K6,"AAAAAEv9Xjc=")</f>
        <v>#VALUE!</v>
      </c>
      <c r="BE1" t="e">
        <f>AND(Sheet1!L6,"AAAAAEv9Xjg=")</f>
        <v>#VALUE!</v>
      </c>
      <c r="BF1" t="e">
        <f>AND(Sheet1!M6,"AAAAAEv9Xjk=")</f>
        <v>#VALUE!</v>
      </c>
      <c r="BG1" t="e">
        <f>AND(Sheet1!N6,"AAAAAEv9Xjo=")</f>
        <v>#VALUE!</v>
      </c>
      <c r="BH1" t="e">
        <f>AND(Sheet1!O6,"AAAAAEv9Xjs=")</f>
        <v>#VALUE!</v>
      </c>
      <c r="BI1">
        <f>IF(Sheet1!7:7,"AAAAAEv9Xjw=",0)</f>
        <v>0</v>
      </c>
      <c r="BJ1" t="e">
        <f>AND(Sheet1!B7,"AAAAAEv9Xj0=")</f>
        <v>#VALUE!</v>
      </c>
      <c r="BK1" t="e">
        <f>AND(Sheet1!C7,"AAAAAEv9Xj4=")</f>
        <v>#VALUE!</v>
      </c>
      <c r="BL1" t="e">
        <f>AND(Sheet1!D7,"AAAAAEv9Xj8=")</f>
        <v>#VALUE!</v>
      </c>
      <c r="BM1" t="e">
        <f>AND(Sheet1!E7,"AAAAAEv9XkA=")</f>
        <v>#VALUE!</v>
      </c>
      <c r="BN1" t="e">
        <f>AND(Sheet1!F7,"AAAAAEv9XkE=")</f>
        <v>#VALUE!</v>
      </c>
      <c r="BO1" t="e">
        <f>AND(Sheet1!G7,"AAAAAEv9XkI=")</f>
        <v>#VALUE!</v>
      </c>
      <c r="BP1" t="e">
        <f>AND(Sheet1!H7,"AAAAAEv9XkM=")</f>
        <v>#VALUE!</v>
      </c>
      <c r="BQ1" t="e">
        <f>AND(Sheet1!I7,"AAAAAEv9XkQ=")</f>
        <v>#VALUE!</v>
      </c>
      <c r="BR1" t="e">
        <f>AND(Sheet1!J7,"AAAAAEv9XkU=")</f>
        <v>#VALUE!</v>
      </c>
      <c r="BS1" t="e">
        <f>AND(Sheet1!K7,"AAAAAEv9XkY=")</f>
        <v>#VALUE!</v>
      </c>
      <c r="BT1" t="e">
        <f>AND(Sheet1!L7,"AAAAAEv9Xkc=")</f>
        <v>#VALUE!</v>
      </c>
      <c r="BU1" t="e">
        <f>AND(Sheet1!M7,"AAAAAEv9Xkg=")</f>
        <v>#VALUE!</v>
      </c>
      <c r="BV1" t="e">
        <f>AND(Sheet1!N7,"AAAAAEv9Xkk=")</f>
        <v>#VALUE!</v>
      </c>
      <c r="BW1" t="e">
        <f>AND(Sheet1!O7,"AAAAAEv9Xko=")</f>
        <v>#VALUE!</v>
      </c>
      <c r="BX1">
        <f>IF(Sheet1!8:8,"AAAAAEv9Xks=",0)</f>
        <v>0</v>
      </c>
      <c r="BY1" t="e">
        <f>AND(Sheet1!B8,"AAAAAEv9Xkw=")</f>
        <v>#VALUE!</v>
      </c>
      <c r="BZ1" t="e">
        <f>AND(Sheet1!C8,"AAAAAEv9Xk0=")</f>
        <v>#VALUE!</v>
      </c>
      <c r="CA1" t="e">
        <f>AND(Sheet1!D8,"AAAAAEv9Xk4=")</f>
        <v>#VALUE!</v>
      </c>
      <c r="CB1" t="e">
        <f>AND(Sheet1!E8,"AAAAAEv9Xk8=")</f>
        <v>#VALUE!</v>
      </c>
      <c r="CC1" t="e">
        <f>AND(Sheet1!F8,"AAAAAEv9XlA=")</f>
        <v>#VALUE!</v>
      </c>
      <c r="CD1" t="e">
        <f>AND(Sheet1!G8,"AAAAAEv9XlE=")</f>
        <v>#VALUE!</v>
      </c>
      <c r="CE1" t="e">
        <f>AND(Sheet1!H8,"AAAAAEv9XlI=")</f>
        <v>#VALUE!</v>
      </c>
      <c r="CF1" t="e">
        <f>AND(Sheet1!I8,"AAAAAEv9XlM=")</f>
        <v>#VALUE!</v>
      </c>
      <c r="CG1" t="e">
        <f>AND(Sheet1!J8,"AAAAAEv9XlQ=")</f>
        <v>#VALUE!</v>
      </c>
      <c r="CH1" t="e">
        <f>AND(Sheet1!K8,"AAAAAEv9XlU=")</f>
        <v>#VALUE!</v>
      </c>
      <c r="CI1" t="e">
        <f>AND(Sheet1!L8,"AAAAAEv9XlY=")</f>
        <v>#VALUE!</v>
      </c>
      <c r="CJ1" t="e">
        <f>AND(Sheet1!M8,"AAAAAEv9Xlc=")</f>
        <v>#VALUE!</v>
      </c>
      <c r="CK1" t="e">
        <f>AND(Sheet1!N8,"AAAAAEv9Xlg=")</f>
        <v>#VALUE!</v>
      </c>
      <c r="CL1" t="e">
        <f>AND(Sheet1!O8,"AAAAAEv9Xlk=")</f>
        <v>#VALUE!</v>
      </c>
      <c r="CM1">
        <f>IF(Sheet1!9:9,"AAAAAEv9Xlo=",0)</f>
        <v>0</v>
      </c>
      <c r="CN1" t="e">
        <f>AND(Sheet1!B9,"AAAAAEv9Xls=")</f>
        <v>#VALUE!</v>
      </c>
      <c r="CO1" t="e">
        <f>AND(Sheet1!C9,"AAAAAEv9Xlw=")</f>
        <v>#VALUE!</v>
      </c>
      <c r="CP1" t="e">
        <f>AND(Sheet1!D9,"AAAAAEv9Xl0=")</f>
        <v>#VALUE!</v>
      </c>
      <c r="CQ1" t="e">
        <f>AND(Sheet1!E9,"AAAAAEv9Xl4=")</f>
        <v>#VALUE!</v>
      </c>
      <c r="CR1" t="e">
        <f>AND(Sheet1!F9,"AAAAAEv9Xl8=")</f>
        <v>#VALUE!</v>
      </c>
      <c r="CS1" t="e">
        <f>AND(Sheet1!G9,"AAAAAEv9XmA=")</f>
        <v>#VALUE!</v>
      </c>
      <c r="CT1" t="e">
        <f>AND(Sheet1!H9,"AAAAAEv9XmE=")</f>
        <v>#VALUE!</v>
      </c>
      <c r="CU1" t="e">
        <f>AND(Sheet1!I9,"AAAAAEv9XmI=")</f>
        <v>#VALUE!</v>
      </c>
      <c r="CV1" t="e">
        <f>AND(Sheet1!J9,"AAAAAEv9XmM=")</f>
        <v>#VALUE!</v>
      </c>
      <c r="CW1" t="e">
        <f>AND(Sheet1!K9,"AAAAAEv9XmQ=")</f>
        <v>#VALUE!</v>
      </c>
      <c r="CX1" t="e">
        <f>AND(Sheet1!L9,"AAAAAEv9XmU=")</f>
        <v>#VALUE!</v>
      </c>
      <c r="CY1" t="e">
        <f>AND(Sheet1!M9,"AAAAAEv9XmY=")</f>
        <v>#VALUE!</v>
      </c>
      <c r="CZ1" t="e">
        <f>AND(Sheet1!N9,"AAAAAEv9Xmc=")</f>
        <v>#VALUE!</v>
      </c>
      <c r="DA1" t="e">
        <f>AND(Sheet1!O9,"AAAAAEv9Xmg=")</f>
        <v>#VALUE!</v>
      </c>
      <c r="DB1">
        <f>IF(Sheet1!10:10,"AAAAAEv9Xmk=",0)</f>
        <v>0</v>
      </c>
      <c r="DC1" t="e">
        <f>AND(Sheet1!B10,"AAAAAEv9Xmo=")</f>
        <v>#VALUE!</v>
      </c>
      <c r="DD1" t="e">
        <f>AND(Sheet1!C10,"AAAAAEv9Xms=")</f>
        <v>#VALUE!</v>
      </c>
      <c r="DE1" t="e">
        <f>AND(Sheet1!D10,"AAAAAEv9Xmw=")</f>
        <v>#VALUE!</v>
      </c>
      <c r="DF1" t="e">
        <f>AND(Sheet1!E10,"AAAAAEv9Xm0=")</f>
        <v>#VALUE!</v>
      </c>
      <c r="DG1" t="e">
        <f>AND(Sheet1!F10,"AAAAAEv9Xm4=")</f>
        <v>#VALUE!</v>
      </c>
      <c r="DH1" t="e">
        <f>AND(Sheet1!G10,"AAAAAEv9Xm8=")</f>
        <v>#VALUE!</v>
      </c>
      <c r="DI1" t="e">
        <f>AND(Sheet1!H10,"AAAAAEv9XnA=")</f>
        <v>#VALUE!</v>
      </c>
      <c r="DJ1" t="e">
        <f>AND(Sheet1!I10,"AAAAAEv9XnE=")</f>
        <v>#VALUE!</v>
      </c>
      <c r="DK1" t="e">
        <f>AND(Sheet1!J10,"AAAAAEv9XnI=")</f>
        <v>#VALUE!</v>
      </c>
      <c r="DL1" t="e">
        <f>AND(Sheet1!K10,"AAAAAEv9XnM=")</f>
        <v>#VALUE!</v>
      </c>
      <c r="DM1" t="e">
        <f>AND(Sheet1!L10,"AAAAAEv9XnQ=")</f>
        <v>#VALUE!</v>
      </c>
      <c r="DN1" t="e">
        <f>AND(Sheet1!M10,"AAAAAEv9XnU=")</f>
        <v>#VALUE!</v>
      </c>
      <c r="DO1">
        <f>IF(Sheet1!A:A,"AAAAAEv9XnY=",0)</f>
        <v>0</v>
      </c>
      <c r="DP1">
        <f>IF(Sheet1!B:B,"AAAAAEv9Xnc=",0)</f>
        <v>0</v>
      </c>
      <c r="DQ1">
        <f>IF(Sheet1!C:C,"AAAAAEv9Xng=",0)</f>
        <v>0</v>
      </c>
      <c r="DR1">
        <f>IF(Sheet1!D:D,"AAAAAEv9Xnk=",0)</f>
        <v>0</v>
      </c>
      <c r="DS1">
        <f>IF(Sheet1!E:E,"AAAAAEv9Xno=",0)</f>
        <v>0</v>
      </c>
      <c r="DT1">
        <f>IF(Sheet1!F:F,"AAAAAEv9Xns=",0)</f>
        <v>0</v>
      </c>
      <c r="DU1">
        <f>IF(Sheet1!G:G,"AAAAAEv9Xnw=",0)</f>
        <v>0</v>
      </c>
      <c r="DV1">
        <f>IF(Sheet1!H:H,"AAAAAEv9Xn0=",0)</f>
        <v>0</v>
      </c>
      <c r="DW1">
        <f>IF(Sheet1!I:I,"AAAAAEv9Xn4=",0)</f>
        <v>0</v>
      </c>
      <c r="DX1">
        <f>IF(Sheet1!J:J,"AAAAAEv9Xn8=",0)</f>
        <v>0</v>
      </c>
      <c r="DY1">
        <f>IF(Sheet1!K:K,"AAAAAEv9XoA=",0)</f>
        <v>0</v>
      </c>
      <c r="DZ1">
        <f>IF(Sheet1!L:L,"AAAAAEv9XoE=",0)</f>
        <v>0</v>
      </c>
      <c r="EA1">
        <f>IF(Sheet1!M:M,"AAAAAEv9XoI=",0)</f>
        <v>0</v>
      </c>
      <c r="EB1">
        <f>IF(Sheet1!N:N,"AAAAAEv9XoM=",0)</f>
        <v>0</v>
      </c>
      <c r="EC1">
        <f>IF(Sheet1!O:O,"AAAAAEv9XoQ=",0)</f>
        <v>0</v>
      </c>
      <c r="ED1">
        <f>IF(Sheet2!1:1,"AAAAAEv9XoU=",0)</f>
        <v>0</v>
      </c>
      <c r="EE1" t="e">
        <f>AND(Sheet2!A1,"AAAAAEv9XoY=")</f>
        <v>#VALUE!</v>
      </c>
      <c r="EF1">
        <f>IF(Sheet2!A:A,"AAAAAEv9Xoc=",0)</f>
        <v>0</v>
      </c>
      <c r="EG1">
        <f>IF(Sheet3!1:1,"AAAAAEv9Xog=",0)</f>
        <v>0</v>
      </c>
      <c r="EH1" t="e">
        <f>AND(Sheet3!A1,"AAAAAEv9Xok=")</f>
        <v>#VALUE!</v>
      </c>
      <c r="EI1">
        <f>IF(Sheet3!A:A,"AAAAAEv9Xoo=",0)</f>
        <v>0</v>
      </c>
      <c r="EJ1" s="10" t="s">
        <v>6</v>
      </c>
      <c r="EK1" s="11" t="s">
        <v>7</v>
      </c>
    </row>
    <row r="2" spans="1:141" ht="21" x14ac:dyDescent="0.15">
      <c r="A2">
        <f>IF(Sheet1!1:1,"AAAAAD/d7wA=",0)</f>
        <v>0</v>
      </c>
      <c r="B2" t="e">
        <f>AND(Sheet1!B1,"AAAAAD/d7wE=")</f>
        <v>#VALUE!</v>
      </c>
      <c r="C2" t="e">
        <f>AND(Sheet1!C1,"AAAAAD/d7wI=")</f>
        <v>#VALUE!</v>
      </c>
      <c r="D2" t="e">
        <f>AND(Sheet1!D1,"AAAAAD/d7wM=")</f>
        <v>#VALUE!</v>
      </c>
      <c r="E2" t="e">
        <f>AND(Sheet1!E1,"AAAAAD/d7wQ=")</f>
        <v>#VALUE!</v>
      </c>
      <c r="F2" t="e">
        <f>AND(Sheet1!F1,"AAAAAD/d7wU=")</f>
        <v>#VALUE!</v>
      </c>
      <c r="G2" t="e">
        <f>AND(Sheet1!G1,"AAAAAD/d7wY=")</f>
        <v>#VALUE!</v>
      </c>
      <c r="H2" t="e">
        <f>AND(Sheet1!H1,"AAAAAD/d7wc=")</f>
        <v>#VALUE!</v>
      </c>
      <c r="I2" t="e">
        <f>AND(Sheet1!I1,"AAAAAD/d7wg=")</f>
        <v>#VALUE!</v>
      </c>
      <c r="J2" t="e">
        <f>AND(Sheet1!J1,"AAAAAD/d7wk=")</f>
        <v>#VALUE!</v>
      </c>
      <c r="K2" t="e">
        <f>AND(Sheet1!K1,"AAAAAD/d7wo=")</f>
        <v>#VALUE!</v>
      </c>
      <c r="L2" t="e">
        <f>AND(Sheet1!L1,"AAAAAD/d7ws=")</f>
        <v>#VALUE!</v>
      </c>
      <c r="M2" t="e">
        <f>AND(Sheet1!M1,"AAAAAD/d7ww=")</f>
        <v>#VALUE!</v>
      </c>
      <c r="N2" t="e">
        <f>AND(Sheet1!N1,"AAAAAD/d7w0=")</f>
        <v>#VALUE!</v>
      </c>
      <c r="O2" t="e">
        <f>AND(Sheet1!O1,"AAAAAD/d7w4=")</f>
        <v>#VALUE!</v>
      </c>
      <c r="P2">
        <f>IF(Sheet1!2:2,"AAAAAD/d7w8=",0)</f>
        <v>0</v>
      </c>
      <c r="Q2" t="e">
        <f>AND(Sheet1!B2,"AAAAAD/d7xA=")</f>
        <v>#VALUE!</v>
      </c>
      <c r="R2" t="e">
        <f>AND(Sheet1!C2,"AAAAAD/d7xE=")</f>
        <v>#VALUE!</v>
      </c>
      <c r="S2" t="e">
        <f>AND(Sheet1!D2,"AAAAAD/d7xI=")</f>
        <v>#VALUE!</v>
      </c>
      <c r="T2" t="e">
        <f>AND(Sheet1!E2,"AAAAAD/d7xM=")</f>
        <v>#VALUE!</v>
      </c>
      <c r="U2" t="e">
        <f>AND(Sheet1!F2,"AAAAAD/d7xQ=")</f>
        <v>#VALUE!</v>
      </c>
      <c r="V2" t="e">
        <f>AND(Sheet1!G2,"AAAAAD/d7xU=")</f>
        <v>#VALUE!</v>
      </c>
      <c r="W2" t="e">
        <f>AND(Sheet1!H2,"AAAAAD/d7xY=")</f>
        <v>#VALUE!</v>
      </c>
      <c r="X2" t="e">
        <f>AND(Sheet1!I2,"AAAAAD/d7xc=")</f>
        <v>#VALUE!</v>
      </c>
      <c r="Y2" t="e">
        <f>AND(Sheet1!J2,"AAAAAD/d7xg=")</f>
        <v>#VALUE!</v>
      </c>
      <c r="Z2" t="e">
        <f>AND(Sheet1!K2,"AAAAAD/d7xk=")</f>
        <v>#VALUE!</v>
      </c>
      <c r="AA2" t="e">
        <f>AND(Sheet1!L2,"AAAAAD/d7xo=")</f>
        <v>#VALUE!</v>
      </c>
      <c r="AB2" t="e">
        <f>AND(Sheet1!M2,"AAAAAD/d7xs=")</f>
        <v>#VALUE!</v>
      </c>
      <c r="AC2" t="e">
        <f>AND(Sheet1!N12,"AAAAAD/d7xw=")</f>
        <v>#VALUE!</v>
      </c>
      <c r="AD2" t="e">
        <f>AND(Sheet1!O12,"AAAAAD/d7x0=")</f>
        <v>#VALUE!</v>
      </c>
      <c r="AE2">
        <f>IF(Sheet1!3:3,"AAAAAD/d7x4=",0)</f>
        <v>0</v>
      </c>
      <c r="AF2" t="e">
        <f>AND(Sheet1!B3,"AAAAAD/d7x8=")</f>
        <v>#VALUE!</v>
      </c>
      <c r="AG2" t="e">
        <f>AND(Sheet1!C3,"AAAAAD/d7yA=")</f>
        <v>#VALUE!</v>
      </c>
      <c r="AH2" t="e">
        <f>AND(Sheet1!D3,"AAAAAD/d7yE=")</f>
        <v>#VALUE!</v>
      </c>
      <c r="AI2" t="e">
        <f>AND(Sheet1!E3,"AAAAAD/d7yI=")</f>
        <v>#VALUE!</v>
      </c>
      <c r="AJ2" t="e">
        <f>AND(Sheet1!F3,"AAAAAD/d7yM=")</f>
        <v>#VALUE!</v>
      </c>
      <c r="AK2" t="e">
        <f>AND(Sheet1!G3,"AAAAAD/d7yQ=")</f>
        <v>#VALUE!</v>
      </c>
      <c r="AL2" t="e">
        <f>AND(Sheet1!H3,"AAAAAD/d7yU=")</f>
        <v>#VALUE!</v>
      </c>
      <c r="AM2" t="e">
        <f>AND(Sheet1!I3,"AAAAAD/d7yY=")</f>
        <v>#VALUE!</v>
      </c>
      <c r="AN2" t="e">
        <f>AND(Sheet1!J3,"AAAAAD/d7yc=")</f>
        <v>#VALUE!</v>
      </c>
      <c r="AO2" t="e">
        <f>AND(Sheet1!K3,"AAAAAD/d7yg=")</f>
        <v>#VALUE!</v>
      </c>
      <c r="AP2" t="e">
        <f>AND(Sheet1!L3,"AAAAAD/d7yk=")</f>
        <v>#VALUE!</v>
      </c>
      <c r="AQ2" t="e">
        <f>AND(Sheet1!M3,"AAAAAD/d7yo=")</f>
        <v>#VALUE!</v>
      </c>
      <c r="AR2" t="e">
        <f>AND(Sheet1!N13,"AAAAAD/d7ys=")</f>
        <v>#VALUE!</v>
      </c>
      <c r="AS2" t="e">
        <f>AND(Sheet1!O13,"AAAAAD/d7yw=")</f>
        <v>#VALUE!</v>
      </c>
      <c r="AT2">
        <f>IF(Sheet1!4:4,"AAAAAD/d7y0=",0)</f>
        <v>0</v>
      </c>
      <c r="AU2" t="e">
        <f>AND(Sheet1!B4,"AAAAAD/d7y4=")</f>
        <v>#VALUE!</v>
      </c>
      <c r="AV2" t="e">
        <f>AND(Sheet1!C4,"AAAAAD/d7y8=")</f>
        <v>#VALUE!</v>
      </c>
      <c r="AW2" t="e">
        <f>AND(Sheet1!D4,"AAAAAD/d7zA=")</f>
        <v>#VALUE!</v>
      </c>
      <c r="AX2" t="e">
        <f>AND(Sheet1!E4,"AAAAAD/d7zE=")</f>
        <v>#VALUE!</v>
      </c>
      <c r="AY2" t="e">
        <f>AND(Sheet1!F4,"AAAAAD/d7zI=")</f>
        <v>#VALUE!</v>
      </c>
      <c r="AZ2" t="e">
        <f>AND(Sheet1!G4,"AAAAAD/d7zM=")</f>
        <v>#VALUE!</v>
      </c>
      <c r="BA2" t="e">
        <f>AND(Sheet1!H4,"AAAAAD/d7zQ=")</f>
        <v>#VALUE!</v>
      </c>
      <c r="BB2" t="e">
        <f>AND(Sheet1!I4,"AAAAAD/d7zU=")</f>
        <v>#VALUE!</v>
      </c>
      <c r="BC2" t="e">
        <f>AND(Sheet1!J4,"AAAAAD/d7zY=")</f>
        <v>#VALUE!</v>
      </c>
      <c r="BD2" t="e">
        <f>AND(Sheet1!K4,"AAAAAD/d7zc=")</f>
        <v>#VALUE!</v>
      </c>
      <c r="BE2" t="e">
        <f>AND(Sheet1!L4,"AAAAAD/d7zg=")</f>
        <v>#VALUE!</v>
      </c>
      <c r="BF2" t="e">
        <f>AND(Sheet1!H13,"AAAAAD/d7zk=")</f>
        <v>#VALUE!</v>
      </c>
      <c r="BG2" t="e">
        <f>AND(Sheet1!J13,"AAAAAD/d7zo=")</f>
        <v>#VALUE!</v>
      </c>
      <c r="BH2" t="e">
        <f>AND(Sheet1!K13,"AAAAAD/d7zs=")</f>
        <v>#VALUE!</v>
      </c>
      <c r="BI2" s="19" t="s">
        <v>13</v>
      </c>
      <c r="BJ2" s="20" t="s">
        <v>14</v>
      </c>
    </row>
    <row r="3" spans="1:141" x14ac:dyDescent="0.15">
      <c r="A3" t="e">
        <f>AND(Sheet1!N2,"AAAAAG//zgA=")</f>
        <v>#VALUE!</v>
      </c>
      <c r="B3" t="e">
        <f>AND(Sheet1!O2,"AAAAAG//zgE=")</f>
        <v>#VALUE!</v>
      </c>
      <c r="C3" t="e">
        <f>AND(Sheet1!N3,"AAAAAG//zgI=")</f>
        <v>#VALUE!</v>
      </c>
      <c r="D3" t="e">
        <f>AND(Sheet1!O3,"AAAAAG//zgM=")</f>
        <v>#VALUE!</v>
      </c>
      <c r="E3" t="e">
        <f>AND(Sheet1!H12,"AAAAAG//zgQ=")</f>
        <v>#VALUE!</v>
      </c>
      <c r="F3" t="e">
        <f>AND(Sheet1!K12,"AAAAAG//zgU=")</f>
        <v>#VALUE!</v>
      </c>
      <c r="G3" t="e">
        <f>AND(Sheet1!N10,"AAAAAG//zgY=")</f>
        <v>#VALUE!</v>
      </c>
      <c r="H3" t="e">
        <f>AND(Sheet1!O10,"AAAAAG//zgc=")</f>
        <v>#VALUE!</v>
      </c>
      <c r="I3">
        <f>IF(Sheet1!11:11,"AAAAAG//zgg=",0)</f>
        <v>0</v>
      </c>
      <c r="J3" t="e">
        <f>AND(Sheet1!B11,"AAAAAG//zgk=")</f>
        <v>#VALUE!</v>
      </c>
      <c r="K3" t="e">
        <f>AND(Sheet1!C11,"AAAAAG//zgo=")</f>
        <v>#VALUE!</v>
      </c>
      <c r="L3" t="e">
        <f>AND(Sheet1!D11,"AAAAAG//zgs=")</f>
        <v>#VALUE!</v>
      </c>
      <c r="M3" t="e">
        <f>AND(Sheet1!E11,"AAAAAG//zgw=")</f>
        <v>#VALUE!</v>
      </c>
      <c r="N3" t="e">
        <f>AND(Sheet1!F11,"AAAAAG//zg0=")</f>
        <v>#VALUE!</v>
      </c>
      <c r="O3" t="e">
        <f>AND(Sheet1!G11,"AAAAAG//zg4=")</f>
        <v>#VALUE!</v>
      </c>
      <c r="P3" t="e">
        <f>AND(Sheet1!H11,"AAAAAG//zg8=")</f>
        <v>#VALUE!</v>
      </c>
      <c r="Q3" t="e">
        <f>AND(Sheet1!I11,"AAAAAG//zhA=")</f>
        <v>#VALUE!</v>
      </c>
      <c r="R3" t="e">
        <f>AND(Sheet1!J11,"AAAAAG//zhE=")</f>
        <v>#VALUE!</v>
      </c>
      <c r="S3" t="e">
        <f>AND(Sheet1!K11,"AAAAAG//zhI=")</f>
        <v>#VALUE!</v>
      </c>
      <c r="T3" t="e">
        <f>AND(Sheet1!L11,"AAAAAG//zhM=")</f>
        <v>#VALUE!</v>
      </c>
      <c r="U3" t="e">
        <f>AND(Sheet1!M11,"AAAAAG//zhQ=")</f>
        <v>#VALUE!</v>
      </c>
      <c r="V3" t="e">
        <f>AND(Sheet1!N11,"AAAAAG//zhU=")</f>
        <v>#VALUE!</v>
      </c>
      <c r="W3" t="e">
        <f>AND(Sheet1!O11,"AAAAAG//zhY=")</f>
        <v>#VALUE!</v>
      </c>
      <c r="X3">
        <f>IF(Sheet1!12:12,"AAAAAG//zhc=",0)</f>
        <v>0</v>
      </c>
      <c r="Y3" t="e">
        <f>AND(Sheet1!B12,"AAAAAG//zhg=")</f>
        <v>#VALUE!</v>
      </c>
      <c r="Z3" t="e">
        <f>AND(Sheet1!C12,"AAAAAG//zhk=")</f>
        <v>#VALUE!</v>
      </c>
      <c r="AA3" t="e">
        <f>AND(Sheet1!D12,"AAAAAG//zho=")</f>
        <v>#VALUE!</v>
      </c>
      <c r="AB3" t="e">
        <f>AND(Sheet1!E12,"AAAAAG//zhs=")</f>
        <v>#VALUE!</v>
      </c>
      <c r="AC3" t="e">
        <f>AND(Sheet1!F12,"AAAAAG//zhw=")</f>
        <v>#VALUE!</v>
      </c>
      <c r="AD3" t="e">
        <f>AND(Sheet1!G12,"AAAAAG//zh0=")</f>
        <v>#VALUE!</v>
      </c>
      <c r="AE3" t="e">
        <f>AND(Sheet1!#REF!,"AAAAAG//zh4=")</f>
        <v>#REF!</v>
      </c>
      <c r="AF3" t="e">
        <f>AND(Sheet1!#REF!,"AAAAAG//zh8=")</f>
        <v>#REF!</v>
      </c>
      <c r="AG3" t="e">
        <f>AND(Sheet1!#REF!,"AAAAAG//ziA=")</f>
        <v>#REF!</v>
      </c>
      <c r="AH3" t="e">
        <f>AND(Sheet1!#REF!,"AAAAAG//ziE=")</f>
        <v>#REF!</v>
      </c>
      <c r="AI3" t="e">
        <f>AND(Sheet1!#REF!,"AAAAAG//ziI=")</f>
        <v>#REF!</v>
      </c>
      <c r="AJ3" t="e">
        <f>AND(Sheet1!#REF!,"AAAAAG//ziM=")</f>
        <v>#REF!</v>
      </c>
      <c r="AK3">
        <f>IF(Sheet1!13:13,"AAAAAG//ziQ=",0)</f>
        <v>0</v>
      </c>
      <c r="AL3" t="e">
        <f>AND(Sheet1!B13,"AAAAAG//ziU=")</f>
        <v>#VALUE!</v>
      </c>
      <c r="AM3" t="e">
        <f>AND(Sheet1!C13,"AAAAAG//ziY=")</f>
        <v>#VALUE!</v>
      </c>
      <c r="AN3" t="e">
        <f>AND(Sheet1!D13,"AAAAAG//zic=")</f>
        <v>#VALUE!</v>
      </c>
      <c r="AO3" t="e">
        <f>AND(Sheet1!E13,"AAAAAG//zig=")</f>
        <v>#VALUE!</v>
      </c>
      <c r="AP3" t="e">
        <f>AND(Sheet1!F13,"AAAAAG//zik=")</f>
        <v>#VALUE!</v>
      </c>
      <c r="AQ3" t="e">
        <f>AND(Sheet1!G13,"AAAAAG//zio=")</f>
        <v>#VALUE!</v>
      </c>
      <c r="AR3" t="e">
        <f>AND(Sheet1!#REF!,"AAAAAG//zis=")</f>
        <v>#REF!</v>
      </c>
      <c r="AS3" t="e">
        <f>AND(Sheet1!#REF!,"AAAAAG//ziw=")</f>
        <v>#REF!</v>
      </c>
      <c r="AT3" t="e">
        <f>AND(Sheet1!#REF!,"AAAAAG//zi0=")</f>
        <v>#REF!</v>
      </c>
      <c r="AU3" t="e">
        <f>AND(Sheet1!#REF!,"AAAAAG//zi4=")</f>
        <v>#REF!</v>
      </c>
      <c r="AV3" t="e">
        <f>AND(Sheet1!#REF!,"AAAAAG//zi8=")</f>
        <v>#REF!</v>
      </c>
      <c r="AW3" t="e">
        <f>AND(Sheet1!#REF!,"AAAAAG//zjA=")</f>
        <v>#REF!</v>
      </c>
      <c r="AX3">
        <f>IF(Sheet1!14:14,"AAAAAG//zjE=",0)</f>
        <v>0</v>
      </c>
      <c r="AY3" t="e">
        <f>AND(Sheet1!B14,"AAAAAG//zjI=")</f>
        <v>#VALUE!</v>
      </c>
      <c r="AZ3" t="e">
        <f>AND(Sheet1!C14,"AAAAAG//zjM=")</f>
        <v>#VALUE!</v>
      </c>
      <c r="BA3" t="e">
        <f>AND(Sheet1!D14,"AAAAAG//zjQ=")</f>
        <v>#VALUE!</v>
      </c>
      <c r="BB3" t="e">
        <f>AND(Sheet1!E14,"AAAAAG//zjU=")</f>
        <v>#VALUE!</v>
      </c>
      <c r="BC3" t="e">
        <f>AND(Sheet1!F14,"AAAAAG//zjY=")</f>
        <v>#VALUE!</v>
      </c>
      <c r="BD3" t="e">
        <f>AND(Sheet1!G14,"AAAAAG//zjc=")</f>
        <v>#VALUE!</v>
      </c>
      <c r="BE3" t="e">
        <f>AND(Sheet1!#REF!,"AAAAAG//zjg=")</f>
        <v>#REF!</v>
      </c>
      <c r="BF3" t="e">
        <f>AND(Sheet1!H14,"AAAAAG//zjk=")</f>
        <v>#VALUE!</v>
      </c>
      <c r="BG3" t="e">
        <f>AND(Sheet1!J14,"AAAAAG//zjo=")</f>
        <v>#VALUE!</v>
      </c>
      <c r="BH3" t="e">
        <f>AND(Sheet1!K14,"AAAAAG//zjs=")</f>
        <v>#VALUE!</v>
      </c>
      <c r="BI3" t="e">
        <f>AND(Sheet1!#REF!,"AAAAAG//zjw=")</f>
        <v>#REF!</v>
      </c>
      <c r="BJ3" t="e">
        <f>AND(Sheet1!#REF!,"AAAAAG//zj0=")</f>
        <v>#REF!</v>
      </c>
    </row>
    <row r="4" spans="1:141" x14ac:dyDescent="0.15">
      <c r="A4" t="e">
        <f>AND(Sheet1!J12,"AAAAAH9frgA=")</f>
        <v>#VALUE!</v>
      </c>
    </row>
    <row r="5" spans="1:141" x14ac:dyDescent="0.15">
      <c r="A5" t="e">
        <f>AND(Sheet1!L12,"AAAAABH/fwA=")</f>
        <v>#VALUE!</v>
      </c>
      <c r="B5" t="e">
        <f>AND(Sheet1!M12,"AAAAABH/fwE=")</f>
        <v>#VALUE!</v>
      </c>
      <c r="C5" t="e">
        <f>AND(Sheet1!L13,"AAAAABH/fwI=")</f>
        <v>#VALUE!</v>
      </c>
      <c r="D5" t="e">
        <f>AND(Sheet1!M13,"AAAAABH/fwM=")</f>
        <v>#VALUE!</v>
      </c>
      <c r="E5" t="e">
        <f>AND(Sheet1!L14,"AAAAABH/fwQ=")</f>
        <v>#VALUE!</v>
      </c>
      <c r="F5" t="e">
        <f>AND(Sheet1!M14,"AAAAABH/fwU=")</f>
        <v>#VALUE!</v>
      </c>
    </row>
    <row r="6" spans="1:141" x14ac:dyDescent="0.15">
      <c r="A6" t="e">
        <f>IF("N",_xludf._xlfn.IFERROR,"AAAAAA7vqQA=")</f>
        <v>#VALUE!</v>
      </c>
    </row>
    <row r="7" spans="1:141" x14ac:dyDescent="0.15">
      <c r="A7">
        <f>IF(Sheet1!15:15,"AAAAAG5u+wA=",0)</f>
        <v>0</v>
      </c>
      <c r="B7" t="e">
        <f>AND(Sheet1!B15,"AAAAAG5u+wE=")</f>
        <v>#VALUE!</v>
      </c>
      <c r="C7" t="e">
        <f>AND(Sheet1!C15,"AAAAAG5u+wI=")</f>
        <v>#VALUE!</v>
      </c>
      <c r="D7" t="e">
        <f>AND(Sheet1!D15,"AAAAAG5u+wM=")</f>
        <v>#VALUE!</v>
      </c>
      <c r="E7" t="e">
        <f>AND(Sheet1!E15,"AAAAAG5u+wQ=")</f>
        <v>#VALUE!</v>
      </c>
      <c r="F7" t="e">
        <f>AND(Sheet1!F15,"AAAAAG5u+wU=")</f>
        <v>#VALUE!</v>
      </c>
      <c r="G7" t="e">
        <f>AND(Sheet1!G15,"AAAAAG5u+wY=")</f>
        <v>#VALUE!</v>
      </c>
      <c r="H7" t="e">
        <f>AND(Sheet1!H15,"AAAAAG5u+wc=")</f>
        <v>#VALUE!</v>
      </c>
      <c r="I7" t="e">
        <f>AND(Sheet1!I15,"AAAAAG5u+wg=")</f>
        <v>#VALUE!</v>
      </c>
      <c r="J7" t="e">
        <f>AND(Sheet1!J15,"AAAAAG5u+wk=")</f>
        <v>#VALUE!</v>
      </c>
      <c r="K7" t="e">
        <f>AND(Sheet1!K15,"AAAAAG5u+wo=")</f>
        <v>#VALUE!</v>
      </c>
      <c r="L7" t="e">
        <f>AND(Sheet1!L15,"AAAAAG5u+ws=")</f>
        <v>#VALUE!</v>
      </c>
      <c r="M7" t="e">
        <f>AND(Sheet1!M15,"AAAAAG5u+ww=")</f>
        <v>#VALUE!</v>
      </c>
      <c r="N7" t="e">
        <f>AND(Sheet1!N15,"AAAAAG5u+w0=")</f>
        <v>#VALUE!</v>
      </c>
      <c r="O7" t="e">
        <f>AND(Sheet1!O15,"AAAAAG5u+w4=")</f>
        <v>#VALUE!</v>
      </c>
      <c r="P7">
        <f>IF(Sheet1!16:16,"AAAAAG5u+w8=",0)</f>
        <v>0</v>
      </c>
      <c r="Q7" t="e">
        <f>AND(Sheet1!B16,"AAAAAG5u+xA=")</f>
        <v>#VALUE!</v>
      </c>
      <c r="R7" t="e">
        <f>AND(Sheet1!C16,"AAAAAG5u+xE=")</f>
        <v>#VALUE!</v>
      </c>
      <c r="S7" t="e">
        <f>AND(Sheet1!D16,"AAAAAG5u+xI=")</f>
        <v>#VALUE!</v>
      </c>
      <c r="T7" t="e">
        <f>AND(Sheet1!E16,"AAAAAG5u+xM=")</f>
        <v>#VALUE!</v>
      </c>
      <c r="U7" t="e">
        <f>AND(Sheet1!F16,"AAAAAG5u+xQ=")</f>
        <v>#VALUE!</v>
      </c>
      <c r="V7" t="e">
        <f>AND(Sheet1!G16,"AAAAAG5u+xU=")</f>
        <v>#VALUE!</v>
      </c>
      <c r="W7" t="e">
        <f>AND(Sheet1!H16,"AAAAAG5u+xY=")</f>
        <v>#VALUE!</v>
      </c>
      <c r="X7" t="e">
        <f>AND(Sheet1!I16,"AAAAAG5u+xc=")</f>
        <v>#VALUE!</v>
      </c>
      <c r="Y7" t="e">
        <f>AND(Sheet1!J16,"AAAAAG5u+xg=")</f>
        <v>#VALUE!</v>
      </c>
      <c r="Z7" t="e">
        <f>AND(Sheet1!K16,"AAAAAG5u+xk=")</f>
        <v>#VALUE!</v>
      </c>
      <c r="AA7" t="e">
        <f>AND(Sheet1!L16,"AAAAAG5u+xo=")</f>
        <v>#VALUE!</v>
      </c>
      <c r="AB7" t="e">
        <f>AND(Sheet1!M16,"AAAAAG5u+xs=")</f>
        <v>#VALUE!</v>
      </c>
      <c r="AC7" t="e">
        <f>AND(Sheet1!N16,"AAAAAG5u+xw=")</f>
        <v>#VALUE!</v>
      </c>
      <c r="AD7" t="e">
        <f>AND(Sheet1!O16,"AAAAAG5u+x0=")</f>
        <v>#VALUE!</v>
      </c>
      <c r="AE7">
        <f>IF(Sheet1!17:17,"AAAAAG5u+x4=",0)</f>
        <v>0</v>
      </c>
      <c r="AF7" t="e">
        <f>AND(Sheet1!B17,"AAAAAG5u+x8=")</f>
        <v>#VALUE!</v>
      </c>
      <c r="AG7" t="e">
        <f>AND(Sheet1!C17,"AAAAAG5u+yA=")</f>
        <v>#VALUE!</v>
      </c>
      <c r="AH7" t="e">
        <f>AND(Sheet1!D17,"AAAAAG5u+yE=")</f>
        <v>#VALUE!</v>
      </c>
      <c r="AI7" t="e">
        <f>AND(Sheet1!E17,"AAAAAG5u+yI=")</f>
        <v>#VALUE!</v>
      </c>
      <c r="AJ7" t="e">
        <f>AND(Sheet1!F17,"AAAAAG5u+yM=")</f>
        <v>#VALUE!</v>
      </c>
      <c r="AK7" t="e">
        <f>AND(Sheet1!G17,"AAAAAG5u+yQ=")</f>
        <v>#VALUE!</v>
      </c>
      <c r="AL7" t="e">
        <f>AND(Sheet1!H17,"AAAAAG5u+yU=")</f>
        <v>#VALUE!</v>
      </c>
      <c r="AM7" t="e">
        <f>AND(Sheet1!I17,"AAAAAG5u+yY=")</f>
        <v>#VALUE!</v>
      </c>
      <c r="AN7" t="e">
        <f>AND(Sheet1!J17,"AAAAAG5u+yc=")</f>
        <v>#VALUE!</v>
      </c>
      <c r="AO7" t="e">
        <f>AND(Sheet1!K17,"AAAAAG5u+yg=")</f>
        <v>#VALUE!</v>
      </c>
      <c r="AP7" t="e">
        <f>AND(Sheet1!L17,"AAAAAG5u+yk=")</f>
        <v>#VALUE!</v>
      </c>
      <c r="AQ7" t="e">
        <f>AND(Sheet1!M17,"AAAAAG5u+yo=")</f>
        <v>#VALUE!</v>
      </c>
      <c r="AR7" t="e">
        <f>AND(Sheet1!N17,"AAAAAG5u+ys=")</f>
        <v>#VALUE!</v>
      </c>
      <c r="AS7" t="e">
        <f>AND(Sheet1!O17,"AAAAAG5u+yw=")</f>
        <v>#VALUE!</v>
      </c>
      <c r="AT7">
        <f>IF(Sheet1!18:18,"AAAAAG5u+y0=",0)</f>
        <v>0</v>
      </c>
      <c r="AU7" t="e">
        <f>AND(Sheet1!B18,"AAAAAG5u+y4=")</f>
        <v>#VALUE!</v>
      </c>
      <c r="AV7" t="e">
        <f>AND(Sheet1!C18,"AAAAAG5u+y8=")</f>
        <v>#VALUE!</v>
      </c>
      <c r="AW7" t="e">
        <f>AND(Sheet1!D18,"AAAAAG5u+zA=")</f>
        <v>#VALUE!</v>
      </c>
      <c r="AX7" t="e">
        <f>AND(Sheet1!E18,"AAAAAG5u+zE=")</f>
        <v>#VALUE!</v>
      </c>
      <c r="AY7" t="e">
        <f>AND(Sheet1!F18,"AAAAAG5u+zI=")</f>
        <v>#VALUE!</v>
      </c>
      <c r="AZ7" t="e">
        <f>AND(Sheet1!G18,"AAAAAG5u+zM=")</f>
        <v>#VALUE!</v>
      </c>
      <c r="BA7" t="e">
        <f>AND(Sheet1!H18,"AAAAAG5u+zQ=")</f>
        <v>#VALUE!</v>
      </c>
      <c r="BB7" t="e">
        <f>AND(Sheet1!I18,"AAAAAG5u+zU=")</f>
        <v>#VALUE!</v>
      </c>
      <c r="BC7" t="e">
        <f>AND(Sheet1!J18,"AAAAAG5u+zY=")</f>
        <v>#VALUE!</v>
      </c>
      <c r="BD7" t="e">
        <f>AND(Sheet1!K18,"AAAAAG5u+zc=")</f>
        <v>#VALUE!</v>
      </c>
      <c r="BE7" t="e">
        <f>AND(Sheet1!L18,"AAAAAG5u+zg=")</f>
        <v>#VALUE!</v>
      </c>
      <c r="BF7" t="e">
        <f>AND(Sheet1!M18,"AAAAAG5u+zk=")</f>
        <v>#VALUE!</v>
      </c>
      <c r="BG7" t="e">
        <f>AND(Sheet1!N18,"AAAAAG5u+zo=")</f>
        <v>#VALUE!</v>
      </c>
      <c r="BH7" t="e">
        <f>AND(Sheet1!O18,"AAAAAG5u+zs=")</f>
        <v>#VALUE!</v>
      </c>
      <c r="BI7">
        <f>IF(Sheet1!19:19,"AAAAAG5u+zw=",0)</f>
        <v>0</v>
      </c>
      <c r="BJ7" t="e">
        <f>AND(Sheet1!B19,"AAAAAG5u+z0=")</f>
        <v>#VALUE!</v>
      </c>
      <c r="BK7" t="e">
        <f>AND(Sheet1!C19,"AAAAAG5u+z4=")</f>
        <v>#VALUE!</v>
      </c>
      <c r="BL7" t="e">
        <f>AND(Sheet1!D19,"AAAAAG5u+z8=")</f>
        <v>#VALUE!</v>
      </c>
      <c r="BM7" t="e">
        <f>AND(Sheet1!E19,"AAAAAG5u+0A=")</f>
        <v>#VALUE!</v>
      </c>
      <c r="BN7" t="e">
        <f>AND(Sheet1!F19,"AAAAAG5u+0E=")</f>
        <v>#VALUE!</v>
      </c>
      <c r="BO7" t="e">
        <f>AND(Sheet1!G19,"AAAAAG5u+0I=")</f>
        <v>#VALUE!</v>
      </c>
      <c r="BP7" t="e">
        <f>AND(Sheet1!H19,"AAAAAG5u+0M=")</f>
        <v>#VALUE!</v>
      </c>
      <c r="BQ7" t="e">
        <f>AND(Sheet1!I19,"AAAAAG5u+0Q=")</f>
        <v>#VALUE!</v>
      </c>
      <c r="BR7" t="e">
        <f>AND(Sheet1!J19,"AAAAAG5u+0U=")</f>
        <v>#VALUE!</v>
      </c>
      <c r="BS7" t="e">
        <f>AND(Sheet1!K19,"AAAAAG5u+0Y=")</f>
        <v>#VALUE!</v>
      </c>
      <c r="BT7" t="e">
        <f>AND(Sheet1!L19,"AAAAAG5u+0c=")</f>
        <v>#VALUE!</v>
      </c>
      <c r="BU7" t="e">
        <f>AND(Sheet1!M19,"AAAAAG5u+0g=")</f>
        <v>#VALUE!</v>
      </c>
      <c r="BV7" t="e">
        <f>AND(Sheet1!N19,"AAAAAG5u+0k=")</f>
        <v>#VALUE!</v>
      </c>
      <c r="BW7" t="e">
        <f>AND(Sheet1!O19,"AAAAAG5u+0o=")</f>
        <v>#VALUE!</v>
      </c>
      <c r="BX7">
        <f>IF(Sheet1!20:20,"AAAAAG5u+0s=",0)</f>
        <v>0</v>
      </c>
      <c r="BY7" t="e">
        <f>AND(Sheet1!B20,"AAAAAG5u+0w=")</f>
        <v>#VALUE!</v>
      </c>
      <c r="BZ7" t="e">
        <f>AND(Sheet1!C20,"AAAAAG5u+00=")</f>
        <v>#VALUE!</v>
      </c>
      <c r="CA7" t="e">
        <f>AND(Sheet1!D20,"AAAAAG5u+04=")</f>
        <v>#VALUE!</v>
      </c>
      <c r="CB7" t="e">
        <f>AND(Sheet1!E20,"AAAAAG5u+08=")</f>
        <v>#VALUE!</v>
      </c>
      <c r="CC7" t="e">
        <f>AND(Sheet1!F20,"AAAAAG5u+1A=")</f>
        <v>#VALUE!</v>
      </c>
      <c r="CD7" t="e">
        <f>AND(Sheet1!G20,"AAAAAG5u+1E=")</f>
        <v>#VALUE!</v>
      </c>
      <c r="CE7" t="e">
        <f>AND(Sheet1!H20,"AAAAAG5u+1I=")</f>
        <v>#VALUE!</v>
      </c>
      <c r="CF7" t="e">
        <f>AND(Sheet1!I20,"AAAAAG5u+1M=")</f>
        <v>#VALUE!</v>
      </c>
      <c r="CG7" t="e">
        <f>AND(Sheet1!J20,"AAAAAG5u+1Q=")</f>
        <v>#VALUE!</v>
      </c>
      <c r="CH7" t="e">
        <f>AND(Sheet1!K20,"AAAAAG5u+1U=")</f>
        <v>#VALUE!</v>
      </c>
      <c r="CI7" t="e">
        <f>AND(Sheet1!L20,"AAAAAG5u+1Y=")</f>
        <v>#VALUE!</v>
      </c>
      <c r="CJ7" t="e">
        <f>AND(Sheet1!M20,"AAAAAG5u+1c=")</f>
        <v>#VALUE!</v>
      </c>
      <c r="CK7" t="e">
        <f>AND(Sheet1!N20,"AAAAAG5u+1g=")</f>
        <v>#VALUE!</v>
      </c>
      <c r="CL7" t="e">
        <f>AND(Sheet1!O20,"AAAAAG5u+1k=")</f>
        <v>#VALUE!</v>
      </c>
      <c r="CM7">
        <f>IF(Sheet1!21:21,"AAAAAG5u+1o=",0)</f>
        <v>0</v>
      </c>
      <c r="CN7" t="e">
        <f>AND(Sheet1!B21,"AAAAAG5u+1s=")</f>
        <v>#VALUE!</v>
      </c>
      <c r="CO7" t="e">
        <f>AND(Sheet1!C21,"AAAAAG5u+1w=")</f>
        <v>#VALUE!</v>
      </c>
      <c r="CP7" t="e">
        <f>AND(Sheet1!D21,"AAAAAG5u+10=")</f>
        <v>#VALUE!</v>
      </c>
      <c r="CQ7" t="e">
        <f>AND(Sheet1!E21,"AAAAAG5u+14=")</f>
        <v>#VALUE!</v>
      </c>
      <c r="CR7" t="e">
        <f>AND(Sheet1!F21,"AAAAAG5u+18=")</f>
        <v>#VALUE!</v>
      </c>
      <c r="CS7" t="e">
        <f>AND(Sheet1!G21,"AAAAAG5u+2A=")</f>
        <v>#VALUE!</v>
      </c>
      <c r="CT7" t="e">
        <f>AND(Sheet1!H21,"AAAAAG5u+2E=")</f>
        <v>#VALUE!</v>
      </c>
      <c r="CU7" t="e">
        <f>AND(Sheet1!I21,"AAAAAG5u+2I=")</f>
        <v>#VALUE!</v>
      </c>
      <c r="CV7" t="e">
        <f>AND(Sheet1!J21,"AAAAAG5u+2M=")</f>
        <v>#VALUE!</v>
      </c>
      <c r="CW7" t="e">
        <f>AND(Sheet1!K21,"AAAAAG5u+2Q=")</f>
        <v>#VALUE!</v>
      </c>
      <c r="CX7" t="e">
        <f>AND(Sheet1!L21,"AAAAAG5u+2U=")</f>
        <v>#VALUE!</v>
      </c>
      <c r="CY7" t="e">
        <f>AND(Sheet1!M21,"AAAAAG5u+2Y=")</f>
        <v>#VALUE!</v>
      </c>
      <c r="CZ7" t="e">
        <f>AND(Sheet1!N21,"AAAAAG5u+2c=")</f>
        <v>#VALUE!</v>
      </c>
      <c r="DA7" t="e">
        <f>AND(Sheet1!O21,"AAAAAG5u+2g=")</f>
        <v>#VALUE!</v>
      </c>
      <c r="DB7">
        <f>IF(Sheet1!22:22,"AAAAAG5u+2k=",0)</f>
        <v>0</v>
      </c>
      <c r="DC7" t="e">
        <f>AND(Sheet1!B22,"AAAAAG5u+2o=")</f>
        <v>#VALUE!</v>
      </c>
      <c r="DD7" t="e">
        <f>AND(Sheet1!C22,"AAAAAG5u+2s=")</f>
        <v>#VALUE!</v>
      </c>
      <c r="DE7" t="e">
        <f>AND(Sheet1!D22,"AAAAAG5u+2w=")</f>
        <v>#VALUE!</v>
      </c>
      <c r="DF7" t="e">
        <f>AND(Sheet1!E22,"AAAAAG5u+20=")</f>
        <v>#VALUE!</v>
      </c>
      <c r="DG7" t="e">
        <f>AND(Sheet1!F22,"AAAAAG5u+24=")</f>
        <v>#VALUE!</v>
      </c>
      <c r="DH7" t="e">
        <f>AND(Sheet1!G22,"AAAAAG5u+28=")</f>
        <v>#VALUE!</v>
      </c>
      <c r="DI7" t="e">
        <f>AND(Sheet1!H22,"AAAAAG5u+3A=")</f>
        <v>#VALUE!</v>
      </c>
      <c r="DJ7" t="e">
        <f>AND(Sheet1!I22,"AAAAAG5u+3E=")</f>
        <v>#VALUE!</v>
      </c>
      <c r="DK7" t="e">
        <f>AND(Sheet1!J22,"AAAAAG5u+3I=")</f>
        <v>#VALUE!</v>
      </c>
      <c r="DL7" t="e">
        <f>AND(Sheet1!K22,"AAAAAG5u+3M=")</f>
        <v>#VALUE!</v>
      </c>
      <c r="DM7" t="e">
        <f>AND(Sheet1!L22,"AAAAAG5u+3Q=")</f>
        <v>#VALUE!</v>
      </c>
      <c r="DN7" t="e">
        <f>AND(Sheet1!M22,"AAAAAG5u+3U=")</f>
        <v>#VALUE!</v>
      </c>
      <c r="DO7" t="e">
        <f>AND(Sheet1!N22,"AAAAAG5u+3Y=")</f>
        <v>#VALUE!</v>
      </c>
    </row>
    <row r="8" spans="1:141" x14ac:dyDescent="0.15">
      <c r="A8" t="e">
        <f>AND(Sheet1!#REF!,"AAAAAG6P8wA=")</f>
        <v>#REF!</v>
      </c>
      <c r="B8" t="e">
        <f>AND(Sheet1!#REF!,"AAAAAG6P8wE=")</f>
        <v>#REF!</v>
      </c>
      <c r="C8" t="e">
        <f>AND(Sheet1!#REF!,"AAAAAG6P8wI=")</f>
        <v>#REF!</v>
      </c>
      <c r="D8" t="e">
        <f>AND(Sheet1!M4,"AAAAAG6P8wM=")</f>
        <v>#VALUE!</v>
      </c>
      <c r="E8" t="e">
        <f>AND(Sheet1!N4,"AAAAAG6P8wQ=")</f>
        <v>#VALUE!</v>
      </c>
      <c r="F8" t="e">
        <f>AND(Sheet1!O4,"AAAAAG6P8wU=")</f>
        <v>#VALUE!</v>
      </c>
      <c r="G8" t="e">
        <f>AND(Sheet1!I12,"AAAAAG6P8wY=")</f>
        <v>#VALUE!</v>
      </c>
      <c r="H8" t="e">
        <f>AND(Sheet1!I13,"AAAAAG6P8wc=")</f>
        <v>#VALUE!</v>
      </c>
      <c r="I8" t="e">
        <f>AND(Sheet1!I14,"AAAAAG6P8wg=")</f>
        <v>#VALUE!</v>
      </c>
    </row>
  </sheetData>
  <phoneticPr fontId="3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徳田充宏</dc:creator>
  <cp:lastModifiedBy>徳田充宏</cp:lastModifiedBy>
  <dcterms:created xsi:type="dcterms:W3CDTF">2011-12-17T05:11:18Z</dcterms:created>
  <dcterms:modified xsi:type="dcterms:W3CDTF">2011-12-17T06:37:50Z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1z9G-rjjojh-cad4UzMb0H4V-8uOuhlG_laWAkmGv5Fg</vt:lpwstr>
  </property>
  <property fmtid="{D5CDD505-2E9C-101B-9397-08002B2CF9AE}" pid="4" name="Google.Documents.RevisionId">
    <vt:lpwstr>13305965328579713024</vt:lpwstr>
  </property>
  <property fmtid="{D5CDD505-2E9C-101B-9397-08002B2CF9AE}" pid="5" name="Google.Documents.PreviousRevisionId">
    <vt:lpwstr>16102007588164639279</vt:lpwstr>
  </property>
  <property fmtid="{D5CDD505-2E9C-101B-9397-08002B2CF9AE}" pid="6" name="Google.Documents.PluginVersion">
    <vt:lpwstr>2.0.2424.7283</vt:lpwstr>
  </property>
  <property fmtid="{D5CDD505-2E9C-101B-9397-08002B2CF9AE}" pid="7" name="Google.Documents.MergeIncapabilityFlags">
    <vt:i4>0</vt:i4>
  </property>
</Properties>
</file>